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defaultThemeVersion="124226"/>
  <bookViews>
    <workbookView xWindow="-105" yWindow="-105" windowWidth="19425" windowHeight="10425" tabRatio="945" firstSheet="1" activeTab="1"/>
  </bookViews>
  <sheets>
    <sheet name="Note for users" sheetId="82" state="hidden"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1 Financial indiacators" sheetId="29" r:id="rId10"/>
    <sheet name="10.Grain Production details" sheetId="81" r:id="rId11"/>
    <sheet name="11.F&amp;V Crop Production details" sheetId="83" state="hidden" r:id="rId12"/>
    <sheet name="12.Facility 1 - Trading" sheetId="55" r:id="rId13"/>
    <sheet name="13.Facility 2 Grain Processing" sheetId="72" r:id="rId14"/>
    <sheet name="14. Facility 3 Warehouse" sheetId="42" r:id="rId15"/>
    <sheet name="15. Facility 4 Custom Hiring" sheetId="48" state="hidden" r:id="rId16"/>
    <sheet name="16.Facility 5 Agri Input" sheetId="53" state="hidden" r:id="rId17"/>
    <sheet name="17.Facility 6 Horti Processing " sheetId="84" state="hidden" r:id="rId18"/>
    <sheet name="Annex1" sheetId="85" r:id="rId19"/>
  </sheets>
  <definedNames>
    <definedName name="_xlnm.Print_Area" localSheetId="1">'1.Project Cost and MOF'!$A$1:$F$35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Processing'!$A$3:$J$192</definedName>
    <definedName name="_xlnm.Print_Area" localSheetId="14">'14. Facility 3 Warehouse'!$A$1:$K$51</definedName>
    <definedName name="_xlnm.Print_Area" localSheetId="15">'15. Facility 4 Custom Hiring'!$A$1:$U$62</definedName>
    <definedName name="_xlnm.Print_Area" localSheetId="16">'16.Facility 5 Agri Input'!$A$1:$J$281</definedName>
    <definedName name="_xlnm.Print_Area" localSheetId="17">'17.Facility 6 Horti Processing '!$A$1:$J$192</definedName>
    <definedName name="_xlnm.Print_Area" localSheetId="2">'2.Capex Details'!$A$1:$H$138</definedName>
    <definedName name="_xlnm.Print_Area" localSheetId="3">'3.Other Exp &amp; Taxes'!$A$1:$R$105</definedName>
    <definedName name="_xlnm.Print_Area" localSheetId="4">'4.TL repayment sch'!$A$1:$H$95</definedName>
    <definedName name="_xlnm.Print_Area" localSheetId="5">'5.Closing Stock &amp; W Capital'!$A$1:$L$60</definedName>
    <definedName name="_xlnm.Print_Area" localSheetId="6">'6.Cons Profit &amp; Loss'!$A$1:$I$56</definedName>
    <definedName name="_xlnm.Print_Area" localSheetId="7">'7.Balance Sheet'!$A$1:$I$50</definedName>
    <definedName name="_xlnm.Print_Area" localSheetId="8">'8.Cash Flow '!$A$1:$J$39</definedName>
    <definedName name="_xlnm.Print_Area" localSheetId="9">'9.1 Financial indiacators'!$B$1:$M$183</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3" i="57" l="1"/>
  <c r="G52" i="57"/>
  <c r="D284" i="55" l="1"/>
  <c r="F10" i="62"/>
  <c r="F9" i="62"/>
  <c r="F5" i="62"/>
  <c r="D135" i="57"/>
  <c r="F119" i="57"/>
  <c r="H77" i="57"/>
  <c r="H66" i="57"/>
  <c r="G66" i="57"/>
  <c r="H53" i="57"/>
  <c r="G77" i="57"/>
  <c r="F45" i="57" l="1"/>
  <c r="G45" i="57" s="1"/>
  <c r="F43" i="57"/>
  <c r="G43" i="57" s="1"/>
  <c r="F41" i="57"/>
  <c r="G41" i="57" s="1"/>
  <c r="F39" i="57"/>
  <c r="L45" i="57"/>
  <c r="M45" i="57" s="1"/>
  <c r="L43" i="57"/>
  <c r="M43" i="57" s="1"/>
  <c r="L41" i="57"/>
  <c r="M41" i="57" s="1"/>
  <c r="M39" i="57"/>
  <c r="L39" i="57"/>
  <c r="C145" i="72"/>
  <c r="C144" i="72" l="1"/>
  <c r="C143" i="72"/>
  <c r="C161" i="72"/>
  <c r="C159" i="72"/>
  <c r="C156" i="72" l="1"/>
  <c r="C142" i="72"/>
  <c r="C141" i="72"/>
  <c r="K28" i="81"/>
  <c r="K27" i="81"/>
  <c r="C58" i="85"/>
  <c r="H48" i="85"/>
  <c r="I48" i="85" s="1"/>
  <c r="H34" i="85"/>
  <c r="I34" i="85" s="1"/>
  <c r="H33" i="85"/>
  <c r="I33" i="85" s="1"/>
  <c r="H21" i="85"/>
  <c r="I21" i="85" s="1"/>
  <c r="H20" i="85"/>
  <c r="H22" i="85" s="1"/>
  <c r="I22" i="85" s="1"/>
  <c r="H6" i="85"/>
  <c r="I6" i="85" s="1"/>
  <c r="H5" i="85"/>
  <c r="I5" i="85" s="1"/>
  <c r="H49" i="85" l="1"/>
  <c r="I49" i="85" s="1"/>
  <c r="H7" i="85"/>
  <c r="I7" i="85" s="1"/>
  <c r="I20" i="85"/>
  <c r="E55" i="85"/>
  <c r="E54" i="85"/>
  <c r="E53" i="85"/>
  <c r="E52" i="85"/>
  <c r="E51" i="85"/>
  <c r="E50" i="85"/>
  <c r="E49" i="85"/>
  <c r="E48" i="85"/>
  <c r="E47" i="85"/>
  <c r="E46" i="85"/>
  <c r="J48" i="85" s="1"/>
  <c r="K48" i="85" s="1"/>
  <c r="E35" i="85"/>
  <c r="E34" i="85"/>
  <c r="E33" i="85"/>
  <c r="E32" i="85"/>
  <c r="E31" i="85"/>
  <c r="J33" i="85" s="1"/>
  <c r="K33" i="85" s="1"/>
  <c r="C27" i="85"/>
  <c r="E26" i="85"/>
  <c r="E25" i="85"/>
  <c r="E24" i="85"/>
  <c r="E23" i="85"/>
  <c r="E22" i="85"/>
  <c r="E21" i="85"/>
  <c r="E20" i="85"/>
  <c r="E19" i="85"/>
  <c r="E18" i="85"/>
  <c r="J21" i="85" s="1"/>
  <c r="K21" i="85" s="1"/>
  <c r="E17" i="85"/>
  <c r="J20" i="85" s="1"/>
  <c r="K20" i="85" s="1"/>
  <c r="C13" i="85"/>
  <c r="E12" i="85"/>
  <c r="E11" i="85"/>
  <c r="E10" i="85"/>
  <c r="E9" i="85"/>
  <c r="E8" i="85"/>
  <c r="E7" i="85"/>
  <c r="E6" i="85"/>
  <c r="E5" i="85"/>
  <c r="E4" i="85"/>
  <c r="J6" i="85" s="1"/>
  <c r="K6" i="85" s="1"/>
  <c r="E3" i="85"/>
  <c r="J5" i="85" s="1"/>
  <c r="K5" i="85" s="1"/>
  <c r="J7" i="85" l="1"/>
  <c r="K7" i="85" s="1"/>
  <c r="E58" i="85"/>
  <c r="J49" i="85"/>
  <c r="K49" i="85" s="1"/>
  <c r="J22" i="85"/>
  <c r="K22" i="85" s="1"/>
  <c r="E27" i="85"/>
  <c r="E13" i="85"/>
  <c r="E9" i="81"/>
  <c r="G69" i="57"/>
  <c r="F117" i="57"/>
  <c r="G59" i="57"/>
  <c r="G58" i="57"/>
  <c r="G57" i="57"/>
  <c r="G56" i="57"/>
  <c r="G47" i="57"/>
  <c r="G39" i="57"/>
  <c r="G35" i="57" l="1"/>
  <c r="H31" i="57"/>
  <c r="G31" i="57"/>
  <c r="G33" i="57"/>
  <c r="G49" i="57"/>
  <c r="B10" i="42" l="1"/>
  <c r="C40" i="81" l="1"/>
  <c r="G32" i="57" l="1"/>
  <c r="G37" i="57"/>
  <c r="C42" i="85" l="1"/>
  <c r="E41" i="85"/>
  <c r="E40" i="85"/>
  <c r="E39" i="85"/>
  <c r="E38" i="85"/>
  <c r="E37" i="85"/>
  <c r="E36" i="85"/>
  <c r="J34" i="85" l="1"/>
  <c r="K34" i="85" s="1"/>
  <c r="E42" i="85"/>
  <c r="D27" i="42"/>
  <c r="C90" i="81" l="1"/>
  <c r="D90" i="81" s="1"/>
  <c r="E90" i="81" s="1"/>
  <c r="F90" i="81" s="1"/>
  <c r="G90" i="81" s="1"/>
  <c r="H90" i="81" s="1"/>
  <c r="D181" i="72"/>
  <c r="C102" i="81" l="1"/>
  <c r="D180" i="72"/>
  <c r="D185" i="72" s="1"/>
  <c r="G72" i="57" l="1"/>
  <c r="G71" i="57"/>
  <c r="G70" i="57"/>
  <c r="D295" i="55" l="1"/>
  <c r="B7" i="81"/>
  <c r="B9" i="81" s="1"/>
  <c r="E16" i="22" l="1"/>
  <c r="E15" i="22"/>
  <c r="E14" i="22"/>
  <c r="E13" i="22"/>
  <c r="E12" i="22"/>
  <c r="E11" i="22"/>
  <c r="E10" i="22"/>
  <c r="E9" i="22"/>
  <c r="E8" i="22"/>
  <c r="G6" i="57"/>
  <c r="G26" i="57" l="1"/>
  <c r="G25" i="57"/>
  <c r="G24" i="57"/>
  <c r="G23" i="57"/>
  <c r="G22" i="57"/>
  <c r="G21" i="57"/>
  <c r="B7" i="83"/>
  <c r="B9" i="83" s="1"/>
  <c r="D17" i="83" s="1"/>
  <c r="D40" i="83"/>
  <c r="B126" i="83" s="1"/>
  <c r="D14" i="81"/>
  <c r="D17" i="81"/>
  <c r="B113" i="81"/>
  <c r="C31" i="53"/>
  <c r="C84" i="53"/>
  <c r="B32" i="55"/>
  <c r="D294" i="55"/>
  <c r="D301" i="55" s="1"/>
  <c r="D40" i="81"/>
  <c r="E40" i="81" s="1"/>
  <c r="F40" i="81" s="1"/>
  <c r="G40" i="81" s="1"/>
  <c r="H40" i="81" s="1"/>
  <c r="C32" i="55"/>
  <c r="C65" i="81"/>
  <c r="D65" i="81" s="1"/>
  <c r="E65" i="81" s="1"/>
  <c r="F65" i="81" s="1"/>
  <c r="G65" i="81" s="1"/>
  <c r="H65" i="81" s="1"/>
  <c r="D31" i="53"/>
  <c r="D84" i="53"/>
  <c r="D32" i="55"/>
  <c r="E31" i="53"/>
  <c r="E84" i="53"/>
  <c r="E32" i="55"/>
  <c r="F31" i="53"/>
  <c r="F84" i="53" s="1"/>
  <c r="F32" i="55"/>
  <c r="G31" i="53"/>
  <c r="G84" i="53"/>
  <c r="G32" i="55"/>
  <c r="H31" i="53"/>
  <c r="H84" i="53" s="1"/>
  <c r="H32" i="55"/>
  <c r="I31" i="53"/>
  <c r="I84" i="53"/>
  <c r="E22" i="22"/>
  <c r="E21" i="22"/>
  <c r="E20" i="22"/>
  <c r="E19" i="22"/>
  <c r="E18" i="22"/>
  <c r="E17" i="22"/>
  <c r="E23" i="22" s="1"/>
  <c r="B166" i="72"/>
  <c r="G7" i="57"/>
  <c r="G8" i="57"/>
  <c r="G9" i="57"/>
  <c r="G10" i="57"/>
  <c r="G11" i="57"/>
  <c r="G55" i="57"/>
  <c r="G63" i="57"/>
  <c r="G64" i="57"/>
  <c r="G65" i="57"/>
  <c r="G27" i="57"/>
  <c r="G68" i="57"/>
  <c r="G74" i="57"/>
  <c r="G75" i="57" s="1"/>
  <c r="F86" i="57"/>
  <c r="F87" i="57"/>
  <c r="F88" i="57"/>
  <c r="F89" i="57"/>
  <c r="F92" i="57" s="1"/>
  <c r="F90" i="57"/>
  <c r="F91" i="57"/>
  <c r="F100" i="57"/>
  <c r="F101" i="57"/>
  <c r="F102" i="57"/>
  <c r="F103" i="57"/>
  <c r="F104" i="57"/>
  <c r="F105" i="57"/>
  <c r="F114" i="57"/>
  <c r="F115" i="57"/>
  <c r="F116" i="57"/>
  <c r="B63" i="55"/>
  <c r="B162" i="55"/>
  <c r="D221" i="55" s="1"/>
  <c r="B163" i="55"/>
  <c r="D222" i="55" s="1"/>
  <c r="B164" i="55"/>
  <c r="D223" i="55" s="1"/>
  <c r="C182" i="53"/>
  <c r="F8" i="48"/>
  <c r="H8" i="48"/>
  <c r="C28" i="48" s="1"/>
  <c r="D28" i="48"/>
  <c r="F9" i="48"/>
  <c r="H9" i="48"/>
  <c r="D29" i="48"/>
  <c r="F10" i="48"/>
  <c r="H10" i="48"/>
  <c r="D30" i="48"/>
  <c r="F11" i="48"/>
  <c r="H11" i="48" s="1"/>
  <c r="D31" i="48"/>
  <c r="F12" i="48"/>
  <c r="H12" i="48"/>
  <c r="C32" i="48" s="1"/>
  <c r="F32" i="48"/>
  <c r="D32" i="48"/>
  <c r="C33" i="48"/>
  <c r="D33" i="48"/>
  <c r="E33" i="48"/>
  <c r="C34" i="48"/>
  <c r="D34" i="48"/>
  <c r="C35" i="48"/>
  <c r="D35" i="48"/>
  <c r="F35" i="48" s="1"/>
  <c r="C36" i="48"/>
  <c r="D36" i="48"/>
  <c r="C37" i="48"/>
  <c r="D37" i="48"/>
  <c r="F37" i="48"/>
  <c r="C38" i="48"/>
  <c r="D38" i="48"/>
  <c r="B34" i="72"/>
  <c r="D21" i="42"/>
  <c r="D23" i="42" s="1"/>
  <c r="E39" i="61" s="1"/>
  <c r="B41" i="84"/>
  <c r="D206" i="53"/>
  <c r="D215" i="53"/>
  <c r="D244" i="53"/>
  <c r="D255" i="55"/>
  <c r="D279" i="55"/>
  <c r="D280" i="55"/>
  <c r="O10" i="61"/>
  <c r="P10" i="61" s="1"/>
  <c r="Q10" i="61" s="1"/>
  <c r="R10" i="61" s="1"/>
  <c r="B166" i="84"/>
  <c r="V11" i="61" s="1"/>
  <c r="V16" i="61" s="1"/>
  <c r="J13" i="48"/>
  <c r="J14" i="48"/>
  <c r="J15" i="48"/>
  <c r="J16" i="48"/>
  <c r="J17" i="48"/>
  <c r="M8" i="48"/>
  <c r="M9" i="48"/>
  <c r="M10" i="48"/>
  <c r="M11" i="48"/>
  <c r="M12" i="48"/>
  <c r="M13" i="48"/>
  <c r="M14" i="48"/>
  <c r="M15" i="48"/>
  <c r="M16" i="48"/>
  <c r="M17" i="48"/>
  <c r="D28" i="42"/>
  <c r="D29" i="42"/>
  <c r="D37" i="42"/>
  <c r="D43" i="42" s="1"/>
  <c r="B30" i="21" s="1"/>
  <c r="E52" i="48"/>
  <c r="E56" i="48"/>
  <c r="B31" i="21" s="1"/>
  <c r="D266" i="53"/>
  <c r="D267" i="53"/>
  <c r="D268" i="53"/>
  <c r="D269" i="53"/>
  <c r="D180" i="84"/>
  <c r="D181" i="84"/>
  <c r="C10" i="62"/>
  <c r="C9" i="62"/>
  <c r="C8" i="62"/>
  <c r="C7" i="62"/>
  <c r="C6" i="62"/>
  <c r="C5" i="62"/>
  <c r="H63" i="55"/>
  <c r="E172" i="55"/>
  <c r="E295" i="55" s="1"/>
  <c r="F172" i="55"/>
  <c r="F295" i="55" s="1"/>
  <c r="C44" i="83"/>
  <c r="D44" i="83"/>
  <c r="E44" i="83" s="1"/>
  <c r="F44" i="83"/>
  <c r="G44" i="83" s="1"/>
  <c r="H44" i="83" s="1"/>
  <c r="G63" i="55"/>
  <c r="F63" i="55"/>
  <c r="E63" i="55"/>
  <c r="D63" i="55"/>
  <c r="C63" i="55"/>
  <c r="E255" i="55"/>
  <c r="C72" i="83"/>
  <c r="D72" i="83"/>
  <c r="E72" i="83" s="1"/>
  <c r="F72" i="83" s="1"/>
  <c r="G72" i="83" s="1"/>
  <c r="H72" i="83" s="1"/>
  <c r="E149" i="84"/>
  <c r="E181" i="84"/>
  <c r="K12" i="83"/>
  <c r="C74" i="83"/>
  <c r="C13" i="84"/>
  <c r="C33" i="72"/>
  <c r="D33" i="72" s="1"/>
  <c r="E135" i="72"/>
  <c r="E181" i="72" s="1"/>
  <c r="F4" i="22"/>
  <c r="E124" i="53"/>
  <c r="C100" i="83"/>
  <c r="D100" i="83"/>
  <c r="E100" i="83" s="1"/>
  <c r="F100" i="83"/>
  <c r="G100" i="83" s="1"/>
  <c r="H100" i="83"/>
  <c r="F23" i="48"/>
  <c r="G23" i="48"/>
  <c r="G38" i="48" s="1"/>
  <c r="E17" i="42"/>
  <c r="C162" i="55"/>
  <c r="C163" i="55"/>
  <c r="C164" i="55"/>
  <c r="F38" i="48"/>
  <c r="C9" i="42"/>
  <c r="C10" i="42"/>
  <c r="D162" i="55"/>
  <c r="F221" i="55"/>
  <c r="D163" i="55"/>
  <c r="D164" i="55"/>
  <c r="F223" i="55" s="1"/>
  <c r="E162" i="55"/>
  <c r="G221" i="55" s="1"/>
  <c r="E163" i="55"/>
  <c r="E164" i="55"/>
  <c r="F162" i="55"/>
  <c r="F163" i="55"/>
  <c r="F164" i="55"/>
  <c r="G162" i="55"/>
  <c r="G163" i="55"/>
  <c r="G164" i="55"/>
  <c r="H162" i="55"/>
  <c r="H163" i="55"/>
  <c r="H164" i="55"/>
  <c r="A42" i="81"/>
  <c r="A67" i="83"/>
  <c r="A66" i="83"/>
  <c r="A94" i="83"/>
  <c r="A65" i="83"/>
  <c r="A93" i="83"/>
  <c r="A64" i="83"/>
  <c r="A92" i="83"/>
  <c r="C9" i="61"/>
  <c r="C17" i="61"/>
  <c r="V8" i="61"/>
  <c r="V9" i="61"/>
  <c r="V10" i="61"/>
  <c r="V12" i="61"/>
  <c r="V13" i="61"/>
  <c r="U13" i="61"/>
  <c r="U12" i="61"/>
  <c r="U10" i="61"/>
  <c r="U11" i="61"/>
  <c r="U9" i="61"/>
  <c r="O13" i="61"/>
  <c r="P13" i="61" s="1"/>
  <c r="Q13" i="61" s="1"/>
  <c r="R13" i="61" s="1"/>
  <c r="N13" i="61"/>
  <c r="O12" i="61"/>
  <c r="P12" i="61" s="1"/>
  <c r="Q12" i="61" s="1"/>
  <c r="R12" i="61" s="1"/>
  <c r="N12" i="61"/>
  <c r="N11" i="61"/>
  <c r="N10" i="61"/>
  <c r="O9" i="61"/>
  <c r="P9" i="61" s="1"/>
  <c r="Q9" i="61" s="1"/>
  <c r="R9" i="61" s="1"/>
  <c r="N9" i="61"/>
  <c r="R8" i="61"/>
  <c r="Q8" i="61"/>
  <c r="P8" i="61"/>
  <c r="O8" i="61"/>
  <c r="C15" i="61"/>
  <c r="C16" i="61"/>
  <c r="I173" i="29"/>
  <c r="H173" i="29"/>
  <c r="G173" i="29"/>
  <c r="F173" i="29"/>
  <c r="E173" i="29"/>
  <c r="D173" i="29"/>
  <c r="C173" i="29"/>
  <c r="B128" i="29"/>
  <c r="B143" i="29"/>
  <c r="B158" i="29" s="1"/>
  <c r="B173" i="29"/>
  <c r="B127" i="29"/>
  <c r="B142" i="29"/>
  <c r="B157" i="29" s="1"/>
  <c r="B172" i="29"/>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s="1"/>
  <c r="B171" i="29" s="1"/>
  <c r="B125" i="29"/>
  <c r="B140" i="29" s="1"/>
  <c r="B155" i="29"/>
  <c r="B170" i="29" s="1"/>
  <c r="B124" i="29"/>
  <c r="B123" i="29"/>
  <c r="B138" i="29" s="1"/>
  <c r="B153" i="29" s="1"/>
  <c r="B168" i="29" s="1"/>
  <c r="B122" i="29"/>
  <c r="B37" i="29"/>
  <c r="B36" i="29"/>
  <c r="B35" i="29"/>
  <c r="B34" i="29"/>
  <c r="B33" i="29"/>
  <c r="B32" i="29"/>
  <c r="C53" i="61"/>
  <c r="C52" i="61"/>
  <c r="C51" i="61"/>
  <c r="C50" i="61"/>
  <c r="C49" i="61"/>
  <c r="C48" i="61"/>
  <c r="A23" i="21"/>
  <c r="A33" i="21" s="1"/>
  <c r="A156" i="84"/>
  <c r="A155" i="84"/>
  <c r="A154" i="84"/>
  <c r="A55" i="55"/>
  <c r="A112" i="55"/>
  <c r="A164" i="55" s="1"/>
  <c r="A223" i="55"/>
  <c r="A179" i="53"/>
  <c r="A244" i="53" s="1"/>
  <c r="A70" i="83"/>
  <c r="A69" i="83"/>
  <c r="A68" i="83"/>
  <c r="A96" i="83" s="1"/>
  <c r="A63" i="83"/>
  <c r="A91" i="83" s="1"/>
  <c r="A62" i="83"/>
  <c r="A61" i="83"/>
  <c r="A89" i="83" s="1"/>
  <c r="A60" i="83"/>
  <c r="A59" i="83"/>
  <c r="A87" i="83"/>
  <c r="A58" i="83"/>
  <c r="A86" i="83"/>
  <c r="A57" i="83"/>
  <c r="A85" i="83"/>
  <c r="A113" i="83" s="1"/>
  <c r="A44" i="53"/>
  <c r="A56" i="83"/>
  <c r="A55" i="83"/>
  <c r="A54" i="83"/>
  <c r="A82" i="83" s="1"/>
  <c r="A53" i="83"/>
  <c r="A81" i="83" s="1"/>
  <c r="A52" i="83"/>
  <c r="A51" i="83"/>
  <c r="A79" i="83"/>
  <c r="A50" i="83"/>
  <c r="A78" i="83"/>
  <c r="A49" i="83"/>
  <c r="A38" i="55"/>
  <c r="A95" i="55" s="1"/>
  <c r="A147" i="55" s="1"/>
  <c r="A206" i="55" s="1"/>
  <c r="A260" i="55" s="1"/>
  <c r="A48" i="83"/>
  <c r="A47" i="83"/>
  <c r="A75" i="83" s="1"/>
  <c r="A46" i="83"/>
  <c r="A32" i="53"/>
  <c r="A31" i="53"/>
  <c r="A62" i="81"/>
  <c r="A61" i="81"/>
  <c r="A86" i="81"/>
  <c r="A111" i="81" s="1"/>
  <c r="A29" i="53"/>
  <c r="A60" i="81"/>
  <c r="A85" i="81" s="1"/>
  <c r="A43" i="81"/>
  <c r="A68" i="81" s="1"/>
  <c r="A34" i="55"/>
  <c r="A91" i="55" s="1"/>
  <c r="A143" i="55" s="1"/>
  <c r="A202" i="55" s="1"/>
  <c r="A256" i="55" s="1"/>
  <c r="A36" i="55"/>
  <c r="A93" i="55" s="1"/>
  <c r="A145" i="55" s="1"/>
  <c r="A39" i="55"/>
  <c r="A40" i="55"/>
  <c r="A97" i="55" s="1"/>
  <c r="A149" i="55"/>
  <c r="A208" i="55" s="1"/>
  <c r="A262" i="55" s="1"/>
  <c r="A46" i="55"/>
  <c r="A103" i="55" s="1"/>
  <c r="A155" i="55" s="1"/>
  <c r="A214" i="55" s="1"/>
  <c r="A268" i="55" s="1"/>
  <c r="A47" i="55"/>
  <c r="A104" i="55"/>
  <c r="A156" i="55" s="1"/>
  <c r="A215" i="55"/>
  <c r="A269" i="55" s="1"/>
  <c r="A50" i="55"/>
  <c r="A279" i="55"/>
  <c r="A280" i="55"/>
  <c r="A107" i="55"/>
  <c r="A159" i="55" s="1"/>
  <c r="A218" i="55" s="1"/>
  <c r="A272" i="55" s="1"/>
  <c r="A96" i="55"/>
  <c r="A148" i="55" s="1"/>
  <c r="A207" i="55" s="1"/>
  <c r="A261" i="55" s="1"/>
  <c r="A204" i="55"/>
  <c r="A258" i="55" s="1"/>
  <c r="A255" i="55"/>
  <c r="A254" i="55"/>
  <c r="A30" i="55"/>
  <c r="A87" i="55" s="1"/>
  <c r="A139" i="55"/>
  <c r="A197" i="55" s="1"/>
  <c r="A252" i="55"/>
  <c r="A59" i="81"/>
  <c r="A28" i="55" s="1"/>
  <c r="A85" i="55" s="1"/>
  <c r="A137" i="55" s="1"/>
  <c r="A195" i="55" s="1"/>
  <c r="A250" i="55" s="1"/>
  <c r="C40" i="84"/>
  <c r="D40" i="84" s="1"/>
  <c r="C41" i="84"/>
  <c r="F52" i="48"/>
  <c r="F56" i="48" s="1"/>
  <c r="C31" i="21"/>
  <c r="G43" i="21"/>
  <c r="H43" i="21"/>
  <c r="J97" i="29"/>
  <c r="H87" i="22"/>
  <c r="I87" i="22"/>
  <c r="A61" i="22"/>
  <c r="A62" i="22"/>
  <c r="A63" i="22"/>
  <c r="A64" i="22"/>
  <c r="B137" i="29"/>
  <c r="B152" i="29"/>
  <c r="B139" i="29"/>
  <c r="B154" i="29"/>
  <c r="B169" i="29" s="1"/>
  <c r="B167" i="29"/>
  <c r="H28" i="57"/>
  <c r="C65" i="29"/>
  <c r="D65" i="29" s="1"/>
  <c r="E65" i="29" s="1"/>
  <c r="F65" i="29"/>
  <c r="G65" i="29" s="1"/>
  <c r="H65" i="29" s="1"/>
  <c r="I65" i="29" s="1"/>
  <c r="V12" i="83"/>
  <c r="W12" i="83" s="1"/>
  <c r="X12" i="83" s="1"/>
  <c r="P12" i="83"/>
  <c r="Q12" i="83" s="1"/>
  <c r="R12" i="83" s="1"/>
  <c r="S12" i="83" s="1"/>
  <c r="T12" i="83" s="1"/>
  <c r="K12" i="81"/>
  <c r="A44" i="81"/>
  <c r="A69" i="81"/>
  <c r="A94" i="81"/>
  <c r="A11" i="53" s="1"/>
  <c r="A64" i="53" s="1"/>
  <c r="F13" i="48"/>
  <c r="F14" i="48"/>
  <c r="F15" i="48"/>
  <c r="F16" i="48"/>
  <c r="F17" i="48"/>
  <c r="A152" i="53"/>
  <c r="A220" i="53"/>
  <c r="A26" i="53"/>
  <c r="A58" i="81"/>
  <c r="A57" i="81"/>
  <c r="A82" i="81"/>
  <c r="A28" i="72" s="1"/>
  <c r="A52" i="72" s="1"/>
  <c r="A107" i="81"/>
  <c r="A24" i="53" s="1"/>
  <c r="A56" i="81"/>
  <c r="A81" i="81"/>
  <c r="A55" i="81"/>
  <c r="A80" i="81" s="1"/>
  <c r="A105" i="81" s="1"/>
  <c r="A22" i="53" s="1"/>
  <c r="A54" i="81"/>
  <c r="A79" i="81" s="1"/>
  <c r="A53" i="81"/>
  <c r="A52" i="81"/>
  <c r="A77" i="81" s="1"/>
  <c r="A102" i="81" s="1"/>
  <c r="A19" i="53" s="1"/>
  <c r="A51" i="81"/>
  <c r="A76" i="81" s="1"/>
  <c r="A138" i="53"/>
  <c r="A206" i="53" s="1"/>
  <c r="A49" i="81"/>
  <c r="A74" i="81"/>
  <c r="A48" i="81"/>
  <c r="A73" i="81" s="1"/>
  <c r="A98" i="81" s="1"/>
  <c r="A15" i="53" s="1"/>
  <c r="A47" i="81"/>
  <c r="A72" i="81"/>
  <c r="A97" i="81" s="1"/>
  <c r="A46" i="81"/>
  <c r="A71" i="81" s="1"/>
  <c r="A45" i="81"/>
  <c r="A70" i="81"/>
  <c r="A129" i="53"/>
  <c r="A61" i="53"/>
  <c r="A84" i="53"/>
  <c r="A70" i="53"/>
  <c r="A50" i="81"/>
  <c r="A123" i="72"/>
  <c r="A25" i="55"/>
  <c r="A82" i="55"/>
  <c r="A134" i="55" s="1"/>
  <c r="A192" i="55" s="1"/>
  <c r="A247" i="55" s="1"/>
  <c r="A18" i="55"/>
  <c r="A75" i="55"/>
  <c r="A127" i="55"/>
  <c r="A185" i="55" s="1"/>
  <c r="A240" i="55" s="1"/>
  <c r="A15" i="55"/>
  <c r="A72" i="55" s="1"/>
  <c r="A124" i="55" s="1"/>
  <c r="A182" i="55" s="1"/>
  <c r="A237" i="55" s="1"/>
  <c r="A14" i="55"/>
  <c r="A71" i="55" s="1"/>
  <c r="A123" i="55"/>
  <c r="A181" i="55" s="1"/>
  <c r="A236" i="55" s="1"/>
  <c r="A32" i="55"/>
  <c r="A89" i="55"/>
  <c r="A141" i="55"/>
  <c r="V12" i="81"/>
  <c r="W12" i="81" s="1"/>
  <c r="X12" i="81"/>
  <c r="P12" i="81"/>
  <c r="Q12" i="81" s="1"/>
  <c r="R12" i="81" s="1"/>
  <c r="S12" i="81"/>
  <c r="T12" i="81" s="1"/>
  <c r="A32" i="48"/>
  <c r="A31" i="48"/>
  <c r="A30" i="48"/>
  <c r="A29" i="48"/>
  <c r="A28" i="48"/>
  <c r="B98" i="29"/>
  <c r="B97" i="29"/>
  <c r="B96" i="29"/>
  <c r="B95" i="29"/>
  <c r="A20" i="21"/>
  <c r="A30" i="21"/>
  <c r="A19" i="21"/>
  <c r="A29" i="21" s="1"/>
  <c r="A18" i="21"/>
  <c r="A28" i="21" s="1"/>
  <c r="A21" i="21"/>
  <c r="A31" i="21" s="1"/>
  <c r="A22" i="21"/>
  <c r="A32" i="21"/>
  <c r="A252" i="53"/>
  <c r="A251" i="53"/>
  <c r="A250" i="53"/>
  <c r="A248" i="53"/>
  <c r="A247" i="53"/>
  <c r="A246" i="53"/>
  <c r="A245" i="53"/>
  <c r="A195" i="53"/>
  <c r="A111" i="72"/>
  <c r="D9" i="42"/>
  <c r="D10" i="42" s="1"/>
  <c r="F21" i="42" s="1"/>
  <c r="F23" i="42" s="1"/>
  <c r="D10" i="21" s="1"/>
  <c r="G4" i="22"/>
  <c r="F33" i="48"/>
  <c r="A53" i="55"/>
  <c r="A110" i="55"/>
  <c r="A162" i="55"/>
  <c r="A221" i="55" s="1"/>
  <c r="F34" i="48"/>
  <c r="A16" i="55"/>
  <c r="A73" i="55" s="1"/>
  <c r="A125" i="55"/>
  <c r="A183" i="55" s="1"/>
  <c r="A238" i="55" s="1"/>
  <c r="A26" i="55"/>
  <c r="A83" i="55" s="1"/>
  <c r="A135" i="55" s="1"/>
  <c r="A193" i="55" s="1"/>
  <c r="A248" i="55" s="1"/>
  <c r="A42" i="55"/>
  <c r="A99" i="55" s="1"/>
  <c r="A151" i="55" s="1"/>
  <c r="A210" i="55"/>
  <c r="A264" i="55" s="1"/>
  <c r="A77" i="83"/>
  <c r="A105" i="83" s="1"/>
  <c r="A36" i="53" s="1"/>
  <c r="D185" i="84"/>
  <c r="H4" i="22"/>
  <c r="F17" i="22"/>
  <c r="D274" i="53"/>
  <c r="J12" i="48"/>
  <c r="D21" i="83"/>
  <c r="B109" i="83" s="1"/>
  <c r="C40" i="53" s="1"/>
  <c r="C93" i="53" s="1"/>
  <c r="D16" i="83"/>
  <c r="F16" i="83" s="1"/>
  <c r="H16" i="83" s="1"/>
  <c r="D38" i="83"/>
  <c r="B124" i="83"/>
  <c r="D20" i="83"/>
  <c r="D14" i="83"/>
  <c r="J14" i="83" s="1"/>
  <c r="D74" i="83" s="1"/>
  <c r="D13" i="84" s="1"/>
  <c r="D44" i="84" s="1"/>
  <c r="D15" i="83"/>
  <c r="C23" i="83"/>
  <c r="D19" i="83"/>
  <c r="B107" i="83"/>
  <c r="D22" i="81"/>
  <c r="F22" i="81" s="1"/>
  <c r="D21" i="81"/>
  <c r="F21" i="81" s="1"/>
  <c r="H21" i="81" s="1"/>
  <c r="C30" i="48"/>
  <c r="G30" i="48"/>
  <c r="J10" i="48"/>
  <c r="F17" i="42"/>
  <c r="F28" i="42"/>
  <c r="E244" i="53"/>
  <c r="E267" i="53"/>
  <c r="E37" i="48"/>
  <c r="E35" i="48"/>
  <c r="F38" i="83"/>
  <c r="H38" i="83" s="1"/>
  <c r="B68" i="83" s="1"/>
  <c r="A20" i="55"/>
  <c r="A77" i="55" s="1"/>
  <c r="A129" i="55" s="1"/>
  <c r="A187" i="55" s="1"/>
  <c r="A242" i="55" s="1"/>
  <c r="A80" i="83"/>
  <c r="A108" i="83"/>
  <c r="A39" i="53"/>
  <c r="A41" i="55"/>
  <c r="A98" i="55"/>
  <c r="A150" i="55"/>
  <c r="A209" i="55"/>
  <c r="A263" i="55" s="1"/>
  <c r="E266" i="53"/>
  <c r="A48" i="55"/>
  <c r="A105" i="55" s="1"/>
  <c r="A157" i="55" s="1"/>
  <c r="A216" i="55" s="1"/>
  <c r="A270" i="55" s="1"/>
  <c r="A43" i="55"/>
  <c r="A100" i="55" s="1"/>
  <c r="A152" i="55" s="1"/>
  <c r="A211" i="55"/>
  <c r="A265" i="55" s="1"/>
  <c r="A84" i="83"/>
  <c r="A23" i="84" s="1"/>
  <c r="A54" i="84" s="1"/>
  <c r="A106" i="84"/>
  <c r="A45" i="55"/>
  <c r="A102" i="55" s="1"/>
  <c r="A154" i="55"/>
  <c r="A213" i="55" s="1"/>
  <c r="A267" i="55" s="1"/>
  <c r="J8" i="48"/>
  <c r="E89" i="55"/>
  <c r="G89" i="55"/>
  <c r="G141" i="55" s="1"/>
  <c r="A88" i="83"/>
  <c r="A116" i="83"/>
  <c r="A47" i="53"/>
  <c r="A49" i="55"/>
  <c r="A106" i="55"/>
  <c r="A158" i="55"/>
  <c r="A217" i="55" s="1"/>
  <c r="A271" i="55" s="1"/>
  <c r="A13" i="55"/>
  <c r="A70" i="55"/>
  <c r="A122" i="55" s="1"/>
  <c r="A180" i="55" s="1"/>
  <c r="A235" i="55" s="1"/>
  <c r="A21" i="55"/>
  <c r="A78" i="55" s="1"/>
  <c r="A130" i="55" s="1"/>
  <c r="A188" i="55" s="1"/>
  <c r="A243" i="55" s="1"/>
  <c r="A52" i="55"/>
  <c r="A109" i="55" s="1"/>
  <c r="A161" i="55" s="1"/>
  <c r="A220" i="55" s="1"/>
  <c r="A274" i="55" s="1"/>
  <c r="A153" i="53"/>
  <c r="A221" i="53"/>
  <c r="A85" i="53"/>
  <c r="A76" i="83"/>
  <c r="A37" i="55"/>
  <c r="A94" i="55" s="1"/>
  <c r="A146" i="55" s="1"/>
  <c r="A205" i="55" s="1"/>
  <c r="A259" i="55"/>
  <c r="A97" i="83"/>
  <c r="A58" i="55"/>
  <c r="A115" i="55"/>
  <c r="A167" i="55" s="1"/>
  <c r="A226" i="55" s="1"/>
  <c r="A277" i="55" s="1"/>
  <c r="F222" i="55"/>
  <c r="E221" i="55"/>
  <c r="E38" i="48"/>
  <c r="F21" i="83"/>
  <c r="H21" i="83" s="1"/>
  <c r="E34" i="48"/>
  <c r="F21" i="22"/>
  <c r="A132" i="53"/>
  <c r="A200" i="53" s="1"/>
  <c r="I61" i="29"/>
  <c r="J12" i="29"/>
  <c r="A14" i="72"/>
  <c r="A38" i="72" s="1"/>
  <c r="A93" i="81"/>
  <c r="A10" i="53"/>
  <c r="A19" i="84"/>
  <c r="A50" i="84" s="1"/>
  <c r="A91" i="84"/>
  <c r="A165" i="53"/>
  <c r="A233" i="53"/>
  <c r="A97" i="53"/>
  <c r="A120" i="83"/>
  <c r="A51" i="53"/>
  <c r="A172" i="53" s="1"/>
  <c r="A31" i="84"/>
  <c r="F27" i="42"/>
  <c r="E36" i="48"/>
  <c r="F36" i="48"/>
  <c r="G36" i="48"/>
  <c r="B105" i="83"/>
  <c r="C36" i="53" s="1"/>
  <c r="C89" i="53" s="1"/>
  <c r="F17" i="83"/>
  <c r="H17" i="83" s="1"/>
  <c r="B77" i="83" s="1"/>
  <c r="C77" i="83" s="1"/>
  <c r="D77" i="83" s="1"/>
  <c r="A12" i="55"/>
  <c r="A69" i="55" s="1"/>
  <c r="A121" i="55" s="1"/>
  <c r="A179" i="55" s="1"/>
  <c r="A234" i="55" s="1"/>
  <c r="A95" i="81"/>
  <c r="A12" i="53"/>
  <c r="A16" i="72"/>
  <c r="A40" i="72" s="1"/>
  <c r="A23" i="72"/>
  <c r="A47" i="72" s="1"/>
  <c r="A77" i="72" s="1"/>
  <c r="E40" i="84"/>
  <c r="F40" i="84" s="1"/>
  <c r="D41" i="84"/>
  <c r="A24" i="84"/>
  <c r="A55" i="84" s="1"/>
  <c r="A110" i="84" s="1"/>
  <c r="A29" i="55"/>
  <c r="A86" i="55" s="1"/>
  <c r="A138" i="55" s="1"/>
  <c r="A196" i="55" s="1"/>
  <c r="A251" i="55" s="1"/>
  <c r="A107" i="83"/>
  <c r="A38" i="53" s="1"/>
  <c r="A159" i="53" s="1"/>
  <c r="A227" i="53" s="1"/>
  <c r="A18" i="84"/>
  <c r="A49" i="84" s="1"/>
  <c r="A87" i="84"/>
  <c r="A110" i="83"/>
  <c r="A41" i="53"/>
  <c r="A21" i="84"/>
  <c r="A52" i="84"/>
  <c r="A98" i="84" s="1"/>
  <c r="A115" i="83"/>
  <c r="A46" i="53" s="1"/>
  <c r="A26" i="84"/>
  <c r="A57" i="84" s="1"/>
  <c r="A118" i="84" s="1"/>
  <c r="A54" i="55"/>
  <c r="A111" i="55"/>
  <c r="A163" i="55" s="1"/>
  <c r="A222" i="55" s="1"/>
  <c r="H21" i="22"/>
  <c r="H17" i="22"/>
  <c r="I4" i="22"/>
  <c r="F294" i="55"/>
  <c r="G172" i="55"/>
  <c r="F280" i="55"/>
  <c r="F255" i="55"/>
  <c r="F279" i="55"/>
  <c r="A112" i="83"/>
  <c r="A43" i="53" s="1"/>
  <c r="A164" i="53" s="1"/>
  <c r="A232" i="53" s="1"/>
  <c r="A117" i="83"/>
  <c r="A48" i="53" s="1"/>
  <c r="A28" i="84"/>
  <c r="A59" i="84" s="1"/>
  <c r="A120" i="84"/>
  <c r="A124" i="83"/>
  <c r="A55" i="53"/>
  <c r="A35" i="84"/>
  <c r="A63" i="84"/>
  <c r="A127" i="84" s="1"/>
  <c r="A121" i="83"/>
  <c r="A52" i="53" s="1"/>
  <c r="A32" i="84"/>
  <c r="K14" i="83"/>
  <c r="E74" i="83" s="1"/>
  <c r="E13" i="84" s="1"/>
  <c r="E44" i="84" s="1"/>
  <c r="L12" i="83"/>
  <c r="M12" i="83" s="1"/>
  <c r="F28" i="48"/>
  <c r="G28" i="48"/>
  <c r="A18" i="72"/>
  <c r="A42" i="72" s="1"/>
  <c r="A14" i="53"/>
  <c r="A99" i="81"/>
  <c r="A16" i="53" s="1"/>
  <c r="A69" i="53" s="1"/>
  <c r="A20" i="72"/>
  <c r="A44" i="72" s="1"/>
  <c r="A85" i="72" s="1"/>
  <c r="A106" i="81"/>
  <c r="A23" i="53" s="1"/>
  <c r="A76" i="53" s="1"/>
  <c r="A27" i="72"/>
  <c r="A51" i="72" s="1"/>
  <c r="A108" i="72" s="1"/>
  <c r="A15" i="72"/>
  <c r="A39" i="72" s="1"/>
  <c r="A16" i="84"/>
  <c r="A47" i="84"/>
  <c r="A79" i="84" s="1"/>
  <c r="A57" i="55"/>
  <c r="A114" i="55" s="1"/>
  <c r="A166" i="55" s="1"/>
  <c r="A225" i="55" s="1"/>
  <c r="A276" i="55"/>
  <c r="A87" i="81"/>
  <c r="A112" i="81"/>
  <c r="A30" i="53" s="1"/>
  <c r="A31" i="55"/>
  <c r="A88" i="55" s="1"/>
  <c r="A140" i="55" s="1"/>
  <c r="A198" i="55" s="1"/>
  <c r="A253" i="55"/>
  <c r="A103" i="83"/>
  <c r="A34" i="53"/>
  <c r="A14" i="84"/>
  <c r="A45" i="84"/>
  <c r="A71" i="84" s="1"/>
  <c r="A106" i="83"/>
  <c r="A37" i="53" s="1"/>
  <c r="A17" i="84"/>
  <c r="A48" i="84" s="1"/>
  <c r="A83" i="84" s="1"/>
  <c r="A114" i="83"/>
  <c r="A45" i="53" s="1"/>
  <c r="A98" i="53" s="1"/>
  <c r="A25" i="84"/>
  <c r="A56" i="84" s="1"/>
  <c r="A114" i="84"/>
  <c r="A119" i="83"/>
  <c r="A50" i="53"/>
  <c r="A30" i="84"/>
  <c r="A61" i="84"/>
  <c r="A122" i="84" s="1"/>
  <c r="A98" i="83"/>
  <c r="A59" i="55"/>
  <c r="A116" i="55"/>
  <c r="A168" i="55" s="1"/>
  <c r="A227" i="55" s="1"/>
  <c r="A278" i="55" s="1"/>
  <c r="A122" i="83"/>
  <c r="A53" i="53" s="1"/>
  <c r="A106" i="53" s="1"/>
  <c r="A33" i="84"/>
  <c r="E222" i="55"/>
  <c r="H23" i="48"/>
  <c r="H28" i="48"/>
  <c r="G35" i="48"/>
  <c r="G32" i="48"/>
  <c r="G33" i="48"/>
  <c r="G37" i="48"/>
  <c r="G52" i="48"/>
  <c r="G56" i="48"/>
  <c r="F149" i="84"/>
  <c r="E180" i="84"/>
  <c r="E185" i="84" s="1"/>
  <c r="L12" i="81"/>
  <c r="G19" i="22"/>
  <c r="G20" i="22"/>
  <c r="G21" i="22"/>
  <c r="G17" i="22"/>
  <c r="C31" i="48"/>
  <c r="J11" i="48"/>
  <c r="E28" i="48"/>
  <c r="G22" i="22"/>
  <c r="E28" i="42"/>
  <c r="E279" i="55"/>
  <c r="E32" i="48"/>
  <c r="E294" i="55"/>
  <c r="E280" i="55"/>
  <c r="G18" i="22"/>
  <c r="C109" i="83"/>
  <c r="D40" i="53" s="1"/>
  <c r="D93" i="53" s="1"/>
  <c r="F20" i="22"/>
  <c r="F19" i="22"/>
  <c r="F89" i="55"/>
  <c r="E141" i="55"/>
  <c r="G254" i="55"/>
  <c r="F18" i="22"/>
  <c r="D89" i="55"/>
  <c r="E152" i="53"/>
  <c r="E220" i="53"/>
  <c r="C89" i="55"/>
  <c r="C141" i="55" s="1"/>
  <c r="B89" i="55"/>
  <c r="F19" i="83"/>
  <c r="H19" i="83" s="1"/>
  <c r="B51" i="83" s="1"/>
  <c r="D18" i="83"/>
  <c r="D37" i="83"/>
  <c r="C32" i="83"/>
  <c r="D20" i="81"/>
  <c r="F20" i="81" s="1"/>
  <c r="H20" i="81" s="1"/>
  <c r="D16" i="81"/>
  <c r="F16" i="81" s="1"/>
  <c r="H16" i="81" s="1"/>
  <c r="C32" i="81"/>
  <c r="D33" i="81" s="1"/>
  <c r="F33" i="81" s="1"/>
  <c r="D19" i="81"/>
  <c r="B97" i="81" s="1"/>
  <c r="C97" i="81" s="1"/>
  <c r="D15" i="81"/>
  <c r="C23" i="81"/>
  <c r="D25" i="81" s="1"/>
  <c r="F25" i="81" s="1"/>
  <c r="H25" i="81" s="1"/>
  <c r="D18" i="81"/>
  <c r="A27" i="84"/>
  <c r="A58" i="84"/>
  <c r="A119" i="84" s="1"/>
  <c r="G17" i="42"/>
  <c r="F37" i="42"/>
  <c r="F43" i="42" s="1"/>
  <c r="E9" i="42"/>
  <c r="H19" i="22"/>
  <c r="H18" i="22"/>
  <c r="H22" i="22"/>
  <c r="H20" i="22"/>
  <c r="B32" i="21"/>
  <c r="B108" i="83"/>
  <c r="F20" i="83"/>
  <c r="H20" i="83" s="1"/>
  <c r="B52" i="83" s="1"/>
  <c r="C52" i="83" s="1"/>
  <c r="D52" i="83" s="1"/>
  <c r="D27" i="83"/>
  <c r="D31" i="83"/>
  <c r="D30" i="83"/>
  <c r="B117" i="83" s="1"/>
  <c r="D24" i="83"/>
  <c r="D29" i="83"/>
  <c r="D26" i="83"/>
  <c r="D28" i="83"/>
  <c r="D25" i="83"/>
  <c r="B96" i="83"/>
  <c r="B103" i="83"/>
  <c r="C103" i="83" s="1"/>
  <c r="F15" i="83"/>
  <c r="H15" i="83" s="1"/>
  <c r="E10" i="42"/>
  <c r="G21" i="42" s="1"/>
  <c r="G23" i="42" s="1"/>
  <c r="F9" i="42"/>
  <c r="E30" i="48"/>
  <c r="F30" i="48"/>
  <c r="A36" i="84"/>
  <c r="A64" i="84" s="1"/>
  <c r="A131" i="84" s="1"/>
  <c r="A125" i="83"/>
  <c r="A56" i="53"/>
  <c r="B35" i="84"/>
  <c r="B63" i="84" s="1"/>
  <c r="C96" i="83"/>
  <c r="G149" i="84"/>
  <c r="F180" i="84"/>
  <c r="F181" i="84"/>
  <c r="A137" i="53"/>
  <c r="A205" i="53" s="1"/>
  <c r="A91" i="53"/>
  <c r="A160" i="53"/>
  <c r="A228" i="53" s="1"/>
  <c r="A92" i="53"/>
  <c r="E31" i="48"/>
  <c r="F31" i="48"/>
  <c r="G31" i="48"/>
  <c r="H31" i="48"/>
  <c r="H35" i="48"/>
  <c r="H52" i="48"/>
  <c r="H56" i="48" s="1"/>
  <c r="I23" i="48"/>
  <c r="H32" i="48"/>
  <c r="H33" i="48"/>
  <c r="H37" i="48"/>
  <c r="H38" i="48"/>
  <c r="H30" i="48"/>
  <c r="H34" i="48"/>
  <c r="A166" i="53"/>
  <c r="A234" i="53" s="1"/>
  <c r="H36" i="48"/>
  <c r="A174" i="53"/>
  <c r="A63" i="53"/>
  <c r="A131" i="53"/>
  <c r="A199" i="53" s="1"/>
  <c r="D254" i="55"/>
  <c r="B141" i="55"/>
  <c r="D199" i="55" s="1"/>
  <c r="B57" i="55"/>
  <c r="B114" i="55" s="1"/>
  <c r="B166" i="55" s="1"/>
  <c r="D225" i="55" s="1"/>
  <c r="C68" i="83"/>
  <c r="B106" i="83"/>
  <c r="C106" i="83" s="1"/>
  <c r="D37" i="53" s="1"/>
  <c r="D90" i="53" s="1"/>
  <c r="E226" i="53" s="1"/>
  <c r="F18" i="83"/>
  <c r="H18" i="83" s="1"/>
  <c r="B78" i="83" s="1"/>
  <c r="D141" i="55"/>
  <c r="G199" i="55"/>
  <c r="F254" i="55"/>
  <c r="M12" i="81"/>
  <c r="N12" i="81" s="1"/>
  <c r="A96" i="53"/>
  <c r="I21" i="22"/>
  <c r="I17" i="22"/>
  <c r="I22" i="22"/>
  <c r="I18" i="22"/>
  <c r="I19" i="22"/>
  <c r="J4" i="22"/>
  <c r="I20" i="22"/>
  <c r="A162" i="53"/>
  <c r="A230" i="53"/>
  <c r="A94" i="53"/>
  <c r="C105" i="83"/>
  <c r="G27" i="42"/>
  <c r="G37" i="42"/>
  <c r="G43" i="42" s="1"/>
  <c r="E30" i="21" s="1"/>
  <c r="H17" i="42"/>
  <c r="A104" i="53"/>
  <c r="D33" i="83"/>
  <c r="F33" i="83" s="1"/>
  <c r="H33" i="83" s="1"/>
  <c r="A144" i="53"/>
  <c r="A212" i="53" s="1"/>
  <c r="E254" i="55"/>
  <c r="F141" i="55"/>
  <c r="H199" i="55" s="1"/>
  <c r="D109" i="83"/>
  <c r="E109" i="83" s="1"/>
  <c r="F109" i="83" s="1"/>
  <c r="A126" i="83"/>
  <c r="A57" i="53" s="1"/>
  <c r="A37" i="84"/>
  <c r="A65" i="84" s="1"/>
  <c r="A135" i="84"/>
  <c r="A103" i="53"/>
  <c r="A171" i="53"/>
  <c r="A239" i="53" s="1"/>
  <c r="A87" i="53"/>
  <c r="A155" i="53"/>
  <c r="A223" i="53" s="1"/>
  <c r="A176" i="53"/>
  <c r="A241" i="53"/>
  <c r="A108" i="53"/>
  <c r="H172" i="55"/>
  <c r="G279" i="55"/>
  <c r="E41" i="84"/>
  <c r="A133" i="53"/>
  <c r="A201" i="53" s="1"/>
  <c r="A65" i="53"/>
  <c r="F29" i="83"/>
  <c r="H29" i="83" s="1"/>
  <c r="B60" i="83" s="1"/>
  <c r="B116" i="83"/>
  <c r="F27" i="83"/>
  <c r="H27" i="83" s="1"/>
  <c r="B58" i="83" s="1"/>
  <c r="B114" i="83"/>
  <c r="F26" i="83"/>
  <c r="H26" i="83" s="1"/>
  <c r="B113" i="83"/>
  <c r="F31" i="83"/>
  <c r="H31" i="83"/>
  <c r="B118" i="83"/>
  <c r="F28" i="83"/>
  <c r="H28" i="83" s="1"/>
  <c r="B115" i="83"/>
  <c r="F30" i="83"/>
  <c r="H30" i="83"/>
  <c r="C39" i="53"/>
  <c r="C92" i="53" s="1"/>
  <c r="C108" i="83"/>
  <c r="D108" i="83" s="1"/>
  <c r="F185" i="84"/>
  <c r="F10" i="42"/>
  <c r="H21" i="42" s="1"/>
  <c r="H23" i="42" s="1"/>
  <c r="F10" i="21" s="1"/>
  <c r="G9" i="42"/>
  <c r="G10" i="42" s="1"/>
  <c r="A109" i="53"/>
  <c r="A177" i="53"/>
  <c r="A242" i="53"/>
  <c r="B50" i="83"/>
  <c r="C57" i="55"/>
  <c r="C114" i="55" s="1"/>
  <c r="E276" i="55" s="1"/>
  <c r="D68" i="83"/>
  <c r="E68" i="83" s="1"/>
  <c r="N12" i="83"/>
  <c r="I35" i="48"/>
  <c r="I32" i="48"/>
  <c r="J23" i="48"/>
  <c r="I37" i="48"/>
  <c r="I52" i="48"/>
  <c r="I56" i="48" s="1"/>
  <c r="I30" i="48"/>
  <c r="I28" i="48"/>
  <c r="I36" i="48"/>
  <c r="E40" i="53"/>
  <c r="E93" i="53" s="1"/>
  <c r="G40" i="84"/>
  <c r="F41" i="84"/>
  <c r="A110" i="53"/>
  <c r="A178" i="53"/>
  <c r="A243" i="53" s="1"/>
  <c r="H280" i="55"/>
  <c r="H279" i="55"/>
  <c r="H255" i="55"/>
  <c r="H221" i="55"/>
  <c r="H223" i="55"/>
  <c r="H222" i="55"/>
  <c r="B119" i="83"/>
  <c r="C119" i="83" s="1"/>
  <c r="D50" i="53" s="1"/>
  <c r="D103" i="53" s="1"/>
  <c r="H28" i="42"/>
  <c r="H37" i="42"/>
  <c r="H43" i="42" s="1"/>
  <c r="J22" i="22"/>
  <c r="J18" i="22"/>
  <c r="J19" i="22"/>
  <c r="J20" i="22"/>
  <c r="J21" i="22"/>
  <c r="K4" i="22"/>
  <c r="J17" i="22"/>
  <c r="B40" i="55"/>
  <c r="B97" i="55" s="1"/>
  <c r="C51" i="83"/>
  <c r="H149" i="84"/>
  <c r="H181" i="84" s="1"/>
  <c r="G180" i="84"/>
  <c r="G181" i="84"/>
  <c r="G185" i="84" s="1"/>
  <c r="D33" i="21"/>
  <c r="D39" i="53"/>
  <c r="D92" i="53" s="1"/>
  <c r="B59" i="83"/>
  <c r="B48" i="55" s="1"/>
  <c r="B105" i="55" s="1"/>
  <c r="B87" i="83"/>
  <c r="B26" i="84" s="1"/>
  <c r="B86" i="83"/>
  <c r="C44" i="53"/>
  <c r="C97" i="53" s="1"/>
  <c r="C113" i="83"/>
  <c r="C48" i="53"/>
  <c r="C101" i="53" s="1"/>
  <c r="C117" i="83"/>
  <c r="D48" i="53" s="1"/>
  <c r="D101" i="53" s="1"/>
  <c r="C47" i="53"/>
  <c r="C100" i="53"/>
  <c r="D236" i="53" s="1"/>
  <c r="C116" i="83"/>
  <c r="B90" i="83"/>
  <c r="B29" i="84" s="1"/>
  <c r="B60" i="84" s="1"/>
  <c r="B62" i="83"/>
  <c r="B88" i="83"/>
  <c r="H9" i="42"/>
  <c r="H10" i="42" s="1"/>
  <c r="D57" i="55"/>
  <c r="D114" i="55" s="1"/>
  <c r="C50" i="53"/>
  <c r="C103" i="53" s="1"/>
  <c r="D239" i="53" s="1"/>
  <c r="C19" i="53"/>
  <c r="C72" i="53" s="1"/>
  <c r="C166" i="55"/>
  <c r="E225" i="55" s="1"/>
  <c r="I149" i="84"/>
  <c r="H180" i="84"/>
  <c r="K19" i="22"/>
  <c r="K20" i="22"/>
  <c r="K21" i="22"/>
  <c r="K17" i="22"/>
  <c r="K22" i="22"/>
  <c r="K18" i="22"/>
  <c r="F40" i="53"/>
  <c r="F93" i="53" s="1"/>
  <c r="J52" i="48"/>
  <c r="J56" i="48"/>
  <c r="J37" i="48"/>
  <c r="J38" i="48"/>
  <c r="J34" i="48"/>
  <c r="J36" i="48"/>
  <c r="J28" i="48"/>
  <c r="J31" i="48"/>
  <c r="C16" i="84"/>
  <c r="C47" i="84" s="1"/>
  <c r="D117" i="83"/>
  <c r="E48" i="53" s="1"/>
  <c r="C62" i="83"/>
  <c r="D62" i="83" s="1"/>
  <c r="E62" i="83" s="1"/>
  <c r="E51" i="55" s="1"/>
  <c r="E108" i="55" s="1"/>
  <c r="B51" i="55"/>
  <c r="B108" i="55" s="1"/>
  <c r="E39" i="53"/>
  <c r="E92" i="53" s="1"/>
  <c r="E108" i="83"/>
  <c r="B25" i="84"/>
  <c r="B56" i="84" s="1"/>
  <c r="C86" i="83"/>
  <c r="C25" i="84" s="1"/>
  <c r="C56" i="84" s="1"/>
  <c r="B57" i="84"/>
  <c r="D168" i="53"/>
  <c r="C59" i="83"/>
  <c r="E228" i="53"/>
  <c r="D119" i="83"/>
  <c r="F68" i="83"/>
  <c r="E57" i="55"/>
  <c r="E114" i="55"/>
  <c r="D171" i="53"/>
  <c r="H185" i="84"/>
  <c r="C48" i="55"/>
  <c r="C105" i="55" s="1"/>
  <c r="D59" i="83"/>
  <c r="B157" i="55"/>
  <c r="D216" i="55" s="1"/>
  <c r="D270" i="55"/>
  <c r="C51" i="55"/>
  <c r="C108" i="55"/>
  <c r="E273" i="55" s="1"/>
  <c r="F39" i="53"/>
  <c r="F92" i="53"/>
  <c r="F108" i="83"/>
  <c r="G108" i="83" s="1"/>
  <c r="E237" i="53"/>
  <c r="B160" i="55"/>
  <c r="D219" i="55" s="1"/>
  <c r="D273" i="55"/>
  <c r="E101" i="53"/>
  <c r="G276" i="55"/>
  <c r="E166" i="55"/>
  <c r="F57" i="55"/>
  <c r="F114" i="55" s="1"/>
  <c r="G68" i="83"/>
  <c r="H68" i="83" s="1"/>
  <c r="E171" i="53"/>
  <c r="E239" i="53"/>
  <c r="E59" i="83"/>
  <c r="D48" i="55"/>
  <c r="D105" i="55" s="1"/>
  <c r="C160" i="55"/>
  <c r="E219" i="55" s="1"/>
  <c r="G39" i="53"/>
  <c r="G92" i="53" s="1"/>
  <c r="G57" i="55"/>
  <c r="G114" i="55" s="1"/>
  <c r="G166" i="55" s="1"/>
  <c r="H57" i="55"/>
  <c r="H114" i="55" s="1"/>
  <c r="H166" i="55" s="1"/>
  <c r="F166" i="55"/>
  <c r="H276" i="55"/>
  <c r="B52" i="81" l="1"/>
  <c r="B77" i="81"/>
  <c r="A19" i="72"/>
  <c r="A43" i="72" s="1"/>
  <c r="A31" i="72"/>
  <c r="A55" i="72" s="1"/>
  <c r="A110" i="81"/>
  <c r="A28" i="53" s="1"/>
  <c r="A143" i="53"/>
  <c r="A211" i="53" s="1"/>
  <c r="A75" i="53"/>
  <c r="A26" i="72"/>
  <c r="A50" i="72" s="1"/>
  <c r="A105" i="72" s="1"/>
  <c r="A24" i="55"/>
  <c r="A81" i="55" s="1"/>
  <c r="A133" i="55" s="1"/>
  <c r="A191" i="55" s="1"/>
  <c r="A246" i="55" s="1"/>
  <c r="A104" i="81"/>
  <c r="A21" i="53" s="1"/>
  <c r="A25" i="72"/>
  <c r="A49" i="72" s="1"/>
  <c r="A102" i="72" s="1"/>
  <c r="A23" i="55"/>
  <c r="A80" i="55" s="1"/>
  <c r="A132" i="55" s="1"/>
  <c r="A190" i="55" s="1"/>
  <c r="A245" i="55" s="1"/>
  <c r="G28" i="57"/>
  <c r="D7" i="62"/>
  <c r="C49" i="22" s="1"/>
  <c r="G12" i="57"/>
  <c r="D5" i="62" s="1"/>
  <c r="D9" i="62"/>
  <c r="C20" i="68" s="1"/>
  <c r="D169" i="53"/>
  <c r="E169" i="53"/>
  <c r="C35" i="84"/>
  <c r="C63" i="84" s="1"/>
  <c r="D96" i="83"/>
  <c r="F40" i="83"/>
  <c r="H40" i="83" s="1"/>
  <c r="B48" i="83"/>
  <c r="C48" i="83" s="1"/>
  <c r="C37" i="55" s="1"/>
  <c r="C94" i="55" s="1"/>
  <c r="B76" i="83"/>
  <c r="E117" i="83"/>
  <c r="E270" i="55"/>
  <c r="C157" i="55"/>
  <c r="E216" i="55" s="1"/>
  <c r="B112" i="83"/>
  <c r="F25" i="83"/>
  <c r="H25" i="83" s="1"/>
  <c r="B84" i="83" s="1"/>
  <c r="B111" i="83"/>
  <c r="F24" i="83"/>
  <c r="H24" i="83" s="1"/>
  <c r="D36" i="83"/>
  <c r="D35" i="83"/>
  <c r="D34" i="83"/>
  <c r="B104" i="83"/>
  <c r="E48" i="55"/>
  <c r="E105" i="55" s="1"/>
  <c r="F59" i="83"/>
  <c r="C50" i="83"/>
  <c r="B39" i="55"/>
  <c r="B96" i="55" s="1"/>
  <c r="D36" i="53"/>
  <c r="D89" i="53" s="1"/>
  <c r="D105" i="83"/>
  <c r="E36" i="53" s="1"/>
  <c r="E89" i="53" s="1"/>
  <c r="C38" i="53"/>
  <c r="C91" i="53" s="1"/>
  <c r="D159" i="53" s="1"/>
  <c r="C107" i="83"/>
  <c r="N14" i="83"/>
  <c r="H74" i="83" s="1"/>
  <c r="H13" i="84" s="1"/>
  <c r="B102" i="83"/>
  <c r="C102" i="83" s="1"/>
  <c r="F14" i="83"/>
  <c r="H14" i="83" s="1"/>
  <c r="M14" i="83"/>
  <c r="G74" i="83" s="1"/>
  <c r="G13" i="84" s="1"/>
  <c r="D106" i="83"/>
  <c r="B89" i="83"/>
  <c r="B61" i="83"/>
  <c r="C49" i="53"/>
  <c r="C102" i="53" s="1"/>
  <c r="C118" i="83"/>
  <c r="G109" i="83"/>
  <c r="H109" i="83" s="1"/>
  <c r="I40" i="53" s="1"/>
  <c r="I93" i="53" s="1"/>
  <c r="G40" i="53"/>
  <c r="G93" i="53" s="1"/>
  <c r="L14" i="83"/>
  <c r="F74" i="83" s="1"/>
  <c r="F13" i="84" s="1"/>
  <c r="F44" i="84" s="1"/>
  <c r="C57" i="53"/>
  <c r="C110" i="53" s="1"/>
  <c r="C126" i="83"/>
  <c r="F270" i="55"/>
  <c r="D157" i="55"/>
  <c r="H39" i="53"/>
  <c r="H92" i="53" s="1"/>
  <c r="H108" i="83"/>
  <c r="I39" i="53" s="1"/>
  <c r="I92" i="53" s="1"/>
  <c r="D237" i="53"/>
  <c r="C114" i="83"/>
  <c r="C45" i="53"/>
  <c r="C98" i="53" s="1"/>
  <c r="D103" i="83"/>
  <c r="E34" i="53" s="1"/>
  <c r="E87" i="53" s="1"/>
  <c r="D34" i="53"/>
  <c r="D87" i="53" s="1"/>
  <c r="B53" i="83"/>
  <c r="B81" i="83"/>
  <c r="D39" i="83"/>
  <c r="N14" i="81"/>
  <c r="B99" i="81"/>
  <c r="C99" i="81" s="1"/>
  <c r="D16" i="53" s="1"/>
  <c r="D69" i="53" s="1"/>
  <c r="E205" i="53" s="1"/>
  <c r="E301" i="55"/>
  <c r="C28" i="21" s="1"/>
  <c r="A101" i="81"/>
  <c r="A18" i="53" s="1"/>
  <c r="A139" i="53" s="1"/>
  <c r="A207" i="53" s="1"/>
  <c r="A22" i="72"/>
  <c r="A46" i="72" s="1"/>
  <c r="A93" i="72" s="1"/>
  <c r="D34" i="42"/>
  <c r="B20" i="21" s="1"/>
  <c r="C30" i="53"/>
  <c r="C83" i="53" s="1"/>
  <c r="C113" i="81"/>
  <c r="D29" i="81"/>
  <c r="D27" i="81"/>
  <c r="F27" i="81" s="1"/>
  <c r="H27" i="81" s="1"/>
  <c r="B54" i="81" s="1"/>
  <c r="D28" i="81"/>
  <c r="B105" i="81" s="1"/>
  <c r="C105" i="81" s="1"/>
  <c r="D30" i="81"/>
  <c r="F30" i="81" s="1"/>
  <c r="H30" i="81" s="1"/>
  <c r="D24" i="81"/>
  <c r="B101" i="81" s="1"/>
  <c r="C101" i="81" s="1"/>
  <c r="D26" i="81"/>
  <c r="F26" i="81" s="1"/>
  <c r="H26" i="81" s="1"/>
  <c r="B94" i="81"/>
  <c r="D31" i="81"/>
  <c r="B108" i="81" s="1"/>
  <c r="C108" i="81" s="1"/>
  <c r="F301" i="55"/>
  <c r="D28" i="21" s="1"/>
  <c r="B98" i="81"/>
  <c r="C98" i="81" s="1"/>
  <c r="E33" i="72"/>
  <c r="D34" i="72"/>
  <c r="C34" i="72"/>
  <c r="F199" i="55"/>
  <c r="B95" i="81"/>
  <c r="F17" i="81"/>
  <c r="H17" i="81" s="1"/>
  <c r="B45" i="81" s="1"/>
  <c r="C45" i="81" s="1"/>
  <c r="B96" i="81"/>
  <c r="F18" i="81"/>
  <c r="H18" i="81" s="1"/>
  <c r="B46" i="81" s="1"/>
  <c r="C46" i="81" s="1"/>
  <c r="F15" i="81"/>
  <c r="H15" i="81" s="1"/>
  <c r="B68" i="81" s="1"/>
  <c r="C68" i="81" s="1"/>
  <c r="D68" i="81" s="1"/>
  <c r="E68" i="81" s="1"/>
  <c r="F68" i="81" s="1"/>
  <c r="G68" i="81" s="1"/>
  <c r="H68" i="81" s="1"/>
  <c r="B93" i="81"/>
  <c r="J14" i="81"/>
  <c r="F14" i="81"/>
  <c r="H14" i="81" s="1"/>
  <c r="B42" i="81" s="1"/>
  <c r="C42" i="81" s="1"/>
  <c r="B92" i="81"/>
  <c r="C92" i="81" s="1"/>
  <c r="F19" i="81"/>
  <c r="H19" i="81" s="1"/>
  <c r="C14" i="53"/>
  <c r="C67" i="53" s="1"/>
  <c r="D135" i="53" s="1"/>
  <c r="C16" i="53"/>
  <c r="C69" i="53" s="1"/>
  <c r="D137" i="53" s="1"/>
  <c r="E169" i="29"/>
  <c r="E154" i="29"/>
  <c r="E139" i="29"/>
  <c r="E124" i="29"/>
  <c r="E34" i="29"/>
  <c r="E29" i="42"/>
  <c r="F29" i="42"/>
  <c r="F34" i="42" s="1"/>
  <c r="B10" i="21"/>
  <c r="H89" i="55"/>
  <c r="H141" i="55" s="1"/>
  <c r="C43" i="53"/>
  <c r="C96" i="53" s="1"/>
  <c r="C112" i="83"/>
  <c r="D225" i="53"/>
  <c r="D157" i="53"/>
  <c r="E223" i="53"/>
  <c r="C34" i="53"/>
  <c r="C87" i="53" s="1"/>
  <c r="E52" i="83"/>
  <c r="E41" i="55" s="1"/>
  <c r="E98" i="55" s="1"/>
  <c r="D41" i="55"/>
  <c r="D98" i="55" s="1"/>
  <c r="B41" i="55"/>
  <c r="B98" i="55" s="1"/>
  <c r="B80" i="83"/>
  <c r="B49" i="83"/>
  <c r="C49" i="83" s="1"/>
  <c r="D49" i="83" s="1"/>
  <c r="D38" i="55" s="1"/>
  <c r="D95" i="55" s="1"/>
  <c r="D147" i="55" s="1"/>
  <c r="B47" i="55"/>
  <c r="B104" i="55" s="1"/>
  <c r="C58" i="83"/>
  <c r="D86" i="83"/>
  <c r="B57" i="83"/>
  <c r="B85" i="83"/>
  <c r="B55" i="83"/>
  <c r="B83" i="83"/>
  <c r="D150" i="55"/>
  <c r="F263" i="55"/>
  <c r="B149" i="55"/>
  <c r="D208" i="55" s="1"/>
  <c r="D262" i="55"/>
  <c r="B79" i="83"/>
  <c r="D50" i="83"/>
  <c r="C39" i="55"/>
  <c r="C96" i="55" s="1"/>
  <c r="C78" i="83"/>
  <c r="B17" i="84"/>
  <c r="B48" i="84" s="1"/>
  <c r="E77" i="83"/>
  <c r="D16" i="84"/>
  <c r="D47" i="84" s="1"/>
  <c r="B16" i="84"/>
  <c r="B47" i="84" s="1"/>
  <c r="E259" i="55"/>
  <c r="C146" i="55"/>
  <c r="D48" i="83"/>
  <c r="B37" i="55"/>
  <c r="B94" i="55" s="1"/>
  <c r="B75" i="83"/>
  <c r="B47" i="83"/>
  <c r="B74" i="83"/>
  <c r="B13" i="84" s="1"/>
  <c r="B44" i="84" s="1"/>
  <c r="B46" i="83"/>
  <c r="D30" i="53"/>
  <c r="D83" i="53" s="1"/>
  <c r="A84" i="81"/>
  <c r="D34" i="81"/>
  <c r="H33" i="81"/>
  <c r="B84" i="81" s="1"/>
  <c r="B109" i="81"/>
  <c r="C109" i="81" s="1"/>
  <c r="I225" i="55"/>
  <c r="E160" i="55"/>
  <c r="G273" i="55"/>
  <c r="E119" i="83"/>
  <c r="E50" i="53"/>
  <c r="E103" i="53" s="1"/>
  <c r="G124" i="29"/>
  <c r="G34" i="29"/>
  <c r="G169" i="29"/>
  <c r="G154" i="29"/>
  <c r="G139" i="29"/>
  <c r="F62" i="83"/>
  <c r="F52" i="83"/>
  <c r="F216" i="55"/>
  <c r="E33" i="21"/>
  <c r="E105" i="83"/>
  <c r="E161" i="53"/>
  <c r="E229" i="53"/>
  <c r="D51" i="55"/>
  <c r="D108" i="55" s="1"/>
  <c r="B91" i="83"/>
  <c r="B63" i="83"/>
  <c r="H225" i="55"/>
  <c r="B148" i="55"/>
  <c r="D207" i="55" s="1"/>
  <c r="D261" i="55"/>
  <c r="F30" i="21"/>
  <c r="C60" i="83"/>
  <c r="B49" i="55"/>
  <c r="B106" i="55" s="1"/>
  <c r="F276" i="55"/>
  <c r="D166" i="55"/>
  <c r="F225" i="55" s="1"/>
  <c r="D112" i="83"/>
  <c r="D43" i="53"/>
  <c r="D96" i="53" s="1"/>
  <c r="D234" i="53"/>
  <c r="D166" i="53"/>
  <c r="D165" i="53"/>
  <c r="D233" i="53"/>
  <c r="F33" i="21"/>
  <c r="D47" i="53"/>
  <c r="D100" i="53" s="1"/>
  <c r="D116" i="83"/>
  <c r="B156" i="55"/>
  <c r="D215" i="55" s="1"/>
  <c r="D269" i="55"/>
  <c r="A135" i="53"/>
  <c r="A203" i="53" s="1"/>
  <c r="A67" i="53"/>
  <c r="C88" i="83"/>
  <c r="B27" i="84"/>
  <c r="B58" i="84" s="1"/>
  <c r="C40" i="55"/>
  <c r="C97" i="55" s="1"/>
  <c r="D51" i="83"/>
  <c r="E157" i="53"/>
  <c r="E225" i="53"/>
  <c r="F31" i="21"/>
  <c r="I39" i="61"/>
  <c r="D160" i="53"/>
  <c r="D228" i="53"/>
  <c r="C46" i="53"/>
  <c r="C99" i="53" s="1"/>
  <c r="C115" i="83"/>
  <c r="B35" i="55"/>
  <c r="C46" i="83"/>
  <c r="G31" i="21"/>
  <c r="I180" i="84"/>
  <c r="I185" i="84" s="1"/>
  <c r="I181" i="84"/>
  <c r="D238" i="53"/>
  <c r="D170" i="53"/>
  <c r="H40" i="84"/>
  <c r="H41" i="84" s="1"/>
  <c r="G41" i="84"/>
  <c r="H44" i="84"/>
  <c r="I17" i="42"/>
  <c r="H29" i="42"/>
  <c r="H27" i="42"/>
  <c r="J149" i="84"/>
  <c r="C90" i="83"/>
  <c r="C87" i="83"/>
  <c r="C41" i="55"/>
  <c r="C98" i="55" s="1"/>
  <c r="D113" i="83"/>
  <c r="D44" i="53"/>
  <c r="D97" i="53" s="1"/>
  <c r="E160" i="53"/>
  <c r="J32" i="48"/>
  <c r="K23" i="48"/>
  <c r="J35" i="48"/>
  <c r="J33" i="48"/>
  <c r="J30" i="48"/>
  <c r="A89" i="53"/>
  <c r="A157" i="53"/>
  <c r="A225" i="53" s="1"/>
  <c r="A151" i="53"/>
  <c r="A219" i="53" s="1"/>
  <c r="A83" i="53"/>
  <c r="A168" i="53"/>
  <c r="A236" i="53" s="1"/>
  <c r="A100" i="53"/>
  <c r="B100" i="81"/>
  <c r="C100" i="81" s="1"/>
  <c r="H22" i="81"/>
  <c r="B50" i="81" s="1"/>
  <c r="C50" i="81" s="1"/>
  <c r="D161" i="53"/>
  <c r="D229" i="53"/>
  <c r="I12" i="29"/>
  <c r="I97" i="29"/>
  <c r="H61" i="29"/>
  <c r="D276" i="55"/>
  <c r="C37" i="53"/>
  <c r="C90" i="53" s="1"/>
  <c r="I31" i="48"/>
  <c r="I33" i="48"/>
  <c r="I38" i="48"/>
  <c r="I34" i="48"/>
  <c r="C33" i="21"/>
  <c r="A90" i="53"/>
  <c r="A158" i="53"/>
  <c r="A226" i="53" s="1"/>
  <c r="A71" i="53"/>
  <c r="A145" i="53"/>
  <c r="A213" i="53" s="1"/>
  <c r="A77" i="53"/>
  <c r="A147" i="53"/>
  <c r="A215" i="53" s="1"/>
  <c r="A79" i="53"/>
  <c r="A67" i="81"/>
  <c r="A11" i="55"/>
  <c r="A68" i="55" s="1"/>
  <c r="A120" i="55" s="1"/>
  <c r="A178" i="55" s="1"/>
  <c r="A233" i="55" s="1"/>
  <c r="I223" i="55"/>
  <c r="I21" i="42"/>
  <c r="I23" i="42" s="1"/>
  <c r="H295" i="55"/>
  <c r="H254" i="55"/>
  <c r="H294" i="55"/>
  <c r="I172" i="55"/>
  <c r="E31" i="21"/>
  <c r="H39" i="61"/>
  <c r="E10" i="21"/>
  <c r="C33" i="53"/>
  <c r="C86" i="53" s="1"/>
  <c r="A105" i="53"/>
  <c r="A173" i="53"/>
  <c r="A136" i="53"/>
  <c r="A204" i="53" s="1"/>
  <c r="A68" i="53"/>
  <c r="G39" i="61"/>
  <c r="D36" i="81"/>
  <c r="D35" i="81"/>
  <c r="B123" i="83"/>
  <c r="F37" i="83"/>
  <c r="H37" i="83" s="1"/>
  <c r="D31" i="21"/>
  <c r="B42" i="55"/>
  <c r="B99" i="55" s="1"/>
  <c r="C53" i="83"/>
  <c r="C55" i="53"/>
  <c r="C108" i="53" s="1"/>
  <c r="C124" i="83"/>
  <c r="A72" i="53"/>
  <c r="A140" i="53"/>
  <c r="A208" i="53" s="1"/>
  <c r="K16" i="22"/>
  <c r="K12" i="22"/>
  <c r="K8" i="22"/>
  <c r="K14" i="22"/>
  <c r="K10" i="22"/>
  <c r="K11" i="22"/>
  <c r="K13" i="22"/>
  <c r="K9" i="22"/>
  <c r="K15" i="22"/>
  <c r="G29" i="42"/>
  <c r="G28" i="42"/>
  <c r="A101" i="53"/>
  <c r="A169" i="53"/>
  <c r="A237" i="53" s="1"/>
  <c r="G295" i="55"/>
  <c r="G223" i="55"/>
  <c r="G280" i="55"/>
  <c r="G222" i="55"/>
  <c r="G294" i="55"/>
  <c r="G255" i="55"/>
  <c r="A99" i="53"/>
  <c r="A167" i="53"/>
  <c r="A235" i="53" s="1"/>
  <c r="A15" i="84"/>
  <c r="A46" i="84" s="1"/>
  <c r="A75" i="84" s="1"/>
  <c r="A104" i="83"/>
  <c r="A35" i="53" s="1"/>
  <c r="F7" i="62"/>
  <c r="D151" i="53"/>
  <c r="D219" i="53"/>
  <c r="D30" i="21"/>
  <c r="D227" i="53"/>
  <c r="H13" i="22"/>
  <c r="H9" i="22"/>
  <c r="H14" i="22"/>
  <c r="H10" i="22"/>
  <c r="H15" i="22"/>
  <c r="H11" i="22"/>
  <c r="H16" i="22"/>
  <c r="H12" i="22"/>
  <c r="H8" i="22"/>
  <c r="A17" i="55"/>
  <c r="A74" i="55" s="1"/>
  <c r="A126" i="55" s="1"/>
  <c r="A184" i="55" s="1"/>
  <c r="A239" i="55" s="1"/>
  <c r="I14" i="22"/>
  <c r="I10" i="22"/>
  <c r="I8" i="22"/>
  <c r="I15" i="22"/>
  <c r="I11" i="22"/>
  <c r="I16" i="22"/>
  <c r="I12" i="22"/>
  <c r="I13" i="22"/>
  <c r="I9" i="22"/>
  <c r="B33" i="21"/>
  <c r="A75" i="81"/>
  <c r="A19" i="55"/>
  <c r="A76" i="55" s="1"/>
  <c r="A128" i="55" s="1"/>
  <c r="A186" i="55" s="1"/>
  <c r="A241" i="55" s="1"/>
  <c r="A78" i="81"/>
  <c r="A22" i="55"/>
  <c r="A79" i="55" s="1"/>
  <c r="A131" i="55" s="1"/>
  <c r="A189" i="55" s="1"/>
  <c r="A244" i="55" s="1"/>
  <c r="A150" i="53"/>
  <c r="A218" i="53" s="1"/>
  <c r="A82" i="53"/>
  <c r="A20" i="84"/>
  <c r="A51" i="84" s="1"/>
  <c r="A94" i="84" s="1"/>
  <c r="A109" i="83"/>
  <c r="A40" i="53" s="1"/>
  <c r="J15" i="22"/>
  <c r="J11" i="22"/>
  <c r="J13" i="22"/>
  <c r="J9" i="22"/>
  <c r="J16" i="22"/>
  <c r="J12" i="22"/>
  <c r="J8" i="22"/>
  <c r="J14" i="22"/>
  <c r="J10" i="22"/>
  <c r="A17" i="72"/>
  <c r="A41" i="72" s="1"/>
  <c r="A96" i="81"/>
  <c r="A13" i="53" s="1"/>
  <c r="A83" i="81"/>
  <c r="A27" i="55"/>
  <c r="A84" i="55" s="1"/>
  <c r="A136" i="55" s="1"/>
  <c r="A194" i="55" s="1"/>
  <c r="A249" i="55" s="1"/>
  <c r="A90" i="83"/>
  <c r="A51" i="55"/>
  <c r="A108" i="55" s="1"/>
  <c r="A160" i="55" s="1"/>
  <c r="A219" i="55" s="1"/>
  <c r="A273" i="55" s="1"/>
  <c r="E27" i="42"/>
  <c r="E37" i="42"/>
  <c r="E43" i="42" s="1"/>
  <c r="C44" i="84"/>
  <c r="C44" i="48"/>
  <c r="E223" i="55"/>
  <c r="F124" i="53"/>
  <c r="E206" i="53"/>
  <c r="E269" i="53"/>
  <c r="D152" i="53"/>
  <c r="D220" i="53"/>
  <c r="A83" i="83"/>
  <c r="A44" i="55"/>
  <c r="A101" i="55" s="1"/>
  <c r="A153" i="55" s="1"/>
  <c r="A212" i="55" s="1"/>
  <c r="A266" i="55" s="1"/>
  <c r="E21" i="42"/>
  <c r="E23" i="42" s="1"/>
  <c r="F15" i="22"/>
  <c r="F11" i="22"/>
  <c r="F10" i="22"/>
  <c r="F16" i="22"/>
  <c r="F12" i="22"/>
  <c r="F8" i="22"/>
  <c r="F13" i="22"/>
  <c r="F9" i="22"/>
  <c r="F14" i="22"/>
  <c r="F22" i="22"/>
  <c r="B29" i="21"/>
  <c r="C29" i="48"/>
  <c r="J9" i="48"/>
  <c r="C43" i="48" s="1"/>
  <c r="F106" i="57"/>
  <c r="D8" i="62" s="1"/>
  <c r="C19" i="68" s="1"/>
  <c r="G16" i="22"/>
  <c r="G12" i="22"/>
  <c r="G8" i="22"/>
  <c r="G13" i="22"/>
  <c r="G9" i="22"/>
  <c r="G14" i="22"/>
  <c r="G10" i="22"/>
  <c r="G15" i="22"/>
  <c r="G11" i="22"/>
  <c r="E268" i="53"/>
  <c r="A74" i="83"/>
  <c r="A35" i="55"/>
  <c r="A92" i="55" s="1"/>
  <c r="A144" i="55" s="1"/>
  <c r="A203" i="55" s="1"/>
  <c r="A257" i="55" s="1"/>
  <c r="A95" i="83"/>
  <c r="A56" i="55"/>
  <c r="A113" i="55" s="1"/>
  <c r="A165" i="55" s="1"/>
  <c r="A224" i="55" s="1"/>
  <c r="A275" i="55" s="1"/>
  <c r="E215" i="53"/>
  <c r="F135" i="72"/>
  <c r="F181" i="72" s="1"/>
  <c r="E180" i="72"/>
  <c r="E185" i="72" s="1"/>
  <c r="B283" i="55"/>
  <c r="G34" i="48"/>
  <c r="D22" i="83"/>
  <c r="B35" i="21"/>
  <c r="B28" i="21"/>
  <c r="I199" i="55"/>
  <c r="E199" i="55"/>
  <c r="D140" i="53"/>
  <c r="D208" i="53"/>
  <c r="M14" i="81"/>
  <c r="L14" i="81"/>
  <c r="K14" i="81"/>
  <c r="B74" i="81"/>
  <c r="B49" i="81"/>
  <c r="C49" i="81" s="1"/>
  <c r="B69" i="81"/>
  <c r="B44" i="81"/>
  <c r="C44" i="81" s="1"/>
  <c r="B48" i="81"/>
  <c r="C48" i="81" s="1"/>
  <c r="B73" i="81"/>
  <c r="C52" i="81"/>
  <c r="O11" i="61"/>
  <c r="E52" i="61" l="1"/>
  <c r="D45" i="42"/>
  <c r="D47" i="42" s="1"/>
  <c r="A120" i="72"/>
  <c r="A71" i="72"/>
  <c r="A70" i="72"/>
  <c r="A81" i="53"/>
  <c r="A149" i="53"/>
  <c r="A217" i="53" s="1"/>
  <c r="A142" i="53"/>
  <c r="A210" i="53" s="1"/>
  <c r="A74" i="53"/>
  <c r="B23" i="55"/>
  <c r="B80" i="55" s="1"/>
  <c r="D245" i="55" s="1"/>
  <c r="C54" i="81"/>
  <c r="C23" i="55" s="1"/>
  <c r="C80" i="55" s="1"/>
  <c r="C37" i="22"/>
  <c r="C38" i="22" s="1"/>
  <c r="C40" i="22" s="1"/>
  <c r="C18" i="68"/>
  <c r="C50" i="22"/>
  <c r="C51" i="22" s="1"/>
  <c r="D50" i="22"/>
  <c r="K49" i="22"/>
  <c r="K50" i="22" s="1"/>
  <c r="K51" i="22" s="1"/>
  <c r="E50" i="22"/>
  <c r="C55" i="22"/>
  <c r="H56" i="22" s="1"/>
  <c r="I50" i="22"/>
  <c r="H50" i="22"/>
  <c r="C16" i="68"/>
  <c r="F50" i="22"/>
  <c r="G50" i="22"/>
  <c r="B125" i="83"/>
  <c r="F39" i="83"/>
  <c r="H39" i="83" s="1"/>
  <c r="F48" i="55"/>
  <c r="F105" i="55" s="1"/>
  <c r="G59" i="83"/>
  <c r="B56" i="83"/>
  <c r="B20" i="84"/>
  <c r="B51" i="84" s="1"/>
  <c r="C81" i="83"/>
  <c r="D178" i="53"/>
  <c r="D243" i="53"/>
  <c r="D49" i="53"/>
  <c r="D102" i="53" s="1"/>
  <c r="D118" i="83"/>
  <c r="E37" i="53"/>
  <c r="E90" i="53" s="1"/>
  <c r="F158" i="53" s="1"/>
  <c r="E106" i="83"/>
  <c r="E157" i="55"/>
  <c r="G216" i="55" s="1"/>
  <c r="G270" i="55"/>
  <c r="F36" i="83"/>
  <c r="H36" i="83" s="1"/>
  <c r="B122" i="83"/>
  <c r="C76" i="83"/>
  <c r="B15" i="84"/>
  <c r="B46" i="84" s="1"/>
  <c r="D126" i="83"/>
  <c r="D57" i="53"/>
  <c r="D110" i="53" s="1"/>
  <c r="F48" i="53"/>
  <c r="F101" i="53" s="1"/>
  <c r="F117" i="83"/>
  <c r="H40" i="53"/>
  <c r="H93" i="53" s="1"/>
  <c r="D45" i="53"/>
  <c r="D98" i="53" s="1"/>
  <c r="D114" i="83"/>
  <c r="D107" i="83"/>
  <c r="D38" i="53"/>
  <c r="D91" i="53" s="1"/>
  <c r="C35" i="53"/>
  <c r="C88" i="53" s="1"/>
  <c r="C104" i="83"/>
  <c r="C89" i="83"/>
  <c r="B28" i="84"/>
  <c r="B59" i="84" s="1"/>
  <c r="F35" i="83"/>
  <c r="H35" i="83" s="1"/>
  <c r="B121" i="83"/>
  <c r="D35" i="84"/>
  <c r="D63" i="84" s="1"/>
  <c r="E96" i="83"/>
  <c r="B38" i="55"/>
  <c r="B95" i="55" s="1"/>
  <c r="D260" i="55" s="1"/>
  <c r="E103" i="83"/>
  <c r="B50" i="55"/>
  <c r="B107" i="55" s="1"/>
  <c r="C61" i="83"/>
  <c r="B120" i="83"/>
  <c r="F34" i="83"/>
  <c r="H34" i="83" s="1"/>
  <c r="C111" i="83"/>
  <c r="C42" i="53"/>
  <c r="C95" i="53" s="1"/>
  <c r="B70" i="83"/>
  <c r="B98" i="83"/>
  <c r="B107" i="81"/>
  <c r="C24" i="53" s="1"/>
  <c r="C77" i="53" s="1"/>
  <c r="D145" i="53" s="1"/>
  <c r="F28" i="81"/>
  <c r="H28" i="81" s="1"/>
  <c r="B55" i="81" s="1"/>
  <c r="C55" i="81" s="1"/>
  <c r="E34" i="42"/>
  <c r="F52" i="61" s="1"/>
  <c r="C10" i="53"/>
  <c r="C63" i="53" s="1"/>
  <c r="D199" i="53" s="1"/>
  <c r="C93" i="81"/>
  <c r="D10" i="53" s="1"/>
  <c r="D63" i="53" s="1"/>
  <c r="E199" i="53" s="1"/>
  <c r="C12" i="53"/>
  <c r="C65" i="53" s="1"/>
  <c r="D133" i="53" s="1"/>
  <c r="C95" i="81"/>
  <c r="D12" i="53" s="1"/>
  <c r="D65" i="53" s="1"/>
  <c r="C96" i="81"/>
  <c r="D96" i="81" s="1"/>
  <c r="C94" i="81"/>
  <c r="D11" i="53" s="1"/>
  <c r="D64" i="53" s="1"/>
  <c r="E200" i="53" s="1"/>
  <c r="B104" i="81"/>
  <c r="C21" i="53" s="1"/>
  <c r="C74" i="53" s="1"/>
  <c r="D210" i="53" s="1"/>
  <c r="G34" i="42"/>
  <c r="H52" i="61" s="1"/>
  <c r="K23" i="22"/>
  <c r="B70" i="81"/>
  <c r="C70" i="81" s="1"/>
  <c r="C15" i="53"/>
  <c r="C68" i="53" s="1"/>
  <c r="D204" i="53" s="1"/>
  <c r="C18" i="53"/>
  <c r="C71" i="53" s="1"/>
  <c r="D139" i="53" s="1"/>
  <c r="B79" i="81"/>
  <c r="B25" i="72" s="1"/>
  <c r="B49" i="72" s="1"/>
  <c r="C11" i="53"/>
  <c r="C64" i="53" s="1"/>
  <c r="D200" i="53" s="1"/>
  <c r="B103" i="81"/>
  <c r="G23" i="22"/>
  <c r="I23" i="22"/>
  <c r="F23" i="22"/>
  <c r="J23" i="22"/>
  <c r="G35" i="21" s="1"/>
  <c r="H23" i="22"/>
  <c r="E35" i="21" s="1"/>
  <c r="F29" i="81"/>
  <c r="H29" i="81" s="1"/>
  <c r="B106" i="81"/>
  <c r="C106" i="81" s="1"/>
  <c r="D25" i="53"/>
  <c r="D78" i="53" s="1"/>
  <c r="E214" i="53" s="1"/>
  <c r="C25" i="53"/>
  <c r="C78" i="53" s="1"/>
  <c r="D214" i="53" s="1"/>
  <c r="F31" i="81"/>
  <c r="H31" i="81" s="1"/>
  <c r="B58" i="81" s="1"/>
  <c r="C58" i="81" s="1"/>
  <c r="F24" i="81"/>
  <c r="H24" i="81" s="1"/>
  <c r="B76" i="81" s="1"/>
  <c r="C76" i="81" s="1"/>
  <c r="G301" i="55"/>
  <c r="E28" i="21" s="1"/>
  <c r="B72" i="81"/>
  <c r="B18" i="72" s="1"/>
  <c r="B42" i="72" s="1"/>
  <c r="B47" i="81"/>
  <c r="C47" i="81" s="1"/>
  <c r="D205" i="53"/>
  <c r="E137" i="53"/>
  <c r="B43" i="81"/>
  <c r="F33" i="72"/>
  <c r="E34" i="72"/>
  <c r="B57" i="81"/>
  <c r="B82" i="81"/>
  <c r="B28" i="72" s="1"/>
  <c r="B52" i="72" s="1"/>
  <c r="B67" i="81"/>
  <c r="F35" i="81"/>
  <c r="H35" i="81" s="1"/>
  <c r="B111" i="81"/>
  <c r="B110" i="81"/>
  <c r="F34" i="81"/>
  <c r="H34" i="81" s="1"/>
  <c r="B85" i="81" s="1"/>
  <c r="F36" i="81"/>
  <c r="H36" i="81" s="1"/>
  <c r="B112" i="81"/>
  <c r="C112" i="81" s="1"/>
  <c r="C13" i="53"/>
  <c r="C66" i="53" s="1"/>
  <c r="D134" i="53" s="1"/>
  <c r="D203" i="53"/>
  <c r="C169" i="29"/>
  <c r="C124" i="29"/>
  <c r="C34" i="29"/>
  <c r="C139" i="29"/>
  <c r="C154" i="29"/>
  <c r="D164" i="53"/>
  <c r="D232" i="53"/>
  <c r="B147" i="55"/>
  <c r="D206" i="55" s="1"/>
  <c r="E49" i="83"/>
  <c r="E38" i="55" s="1"/>
  <c r="E95" i="55" s="1"/>
  <c r="D155" i="53"/>
  <c r="D223" i="53"/>
  <c r="E155" i="53"/>
  <c r="F34" i="53"/>
  <c r="F87" i="53" s="1"/>
  <c r="F103" i="83"/>
  <c r="B19" i="84"/>
  <c r="B50" i="84" s="1"/>
  <c r="C80" i="83"/>
  <c r="B150" i="55"/>
  <c r="D209" i="55" s="1"/>
  <c r="D263" i="55"/>
  <c r="C38" i="55"/>
  <c r="C95" i="55" s="1"/>
  <c r="F260" i="55"/>
  <c r="E86" i="83"/>
  <c r="D25" i="84"/>
  <c r="D56" i="84" s="1"/>
  <c r="D58" i="83"/>
  <c r="C47" i="55"/>
  <c r="C104" i="55" s="1"/>
  <c r="C85" i="83"/>
  <c r="B24" i="84"/>
  <c r="B55" i="84" s="1"/>
  <c r="B46" i="55"/>
  <c r="B103" i="55" s="1"/>
  <c r="C57" i="83"/>
  <c r="B45" i="55"/>
  <c r="B102" i="55" s="1"/>
  <c r="C56" i="83"/>
  <c r="C84" i="83"/>
  <c r="B23" i="84"/>
  <c r="B54" i="84" s="1"/>
  <c r="C55" i="83"/>
  <c r="B44" i="55"/>
  <c r="B101" i="55" s="1"/>
  <c r="B22" i="84"/>
  <c r="B53" i="84" s="1"/>
  <c r="C83" i="83"/>
  <c r="B18" i="84"/>
  <c r="B49" i="84" s="1"/>
  <c r="C79" i="83"/>
  <c r="C17" i="84"/>
  <c r="C48" i="84" s="1"/>
  <c r="D78" i="83"/>
  <c r="E261" i="55"/>
  <c r="C148" i="55"/>
  <c r="E207" i="55" s="1"/>
  <c r="E50" i="83"/>
  <c r="D39" i="55"/>
  <c r="D96" i="55" s="1"/>
  <c r="F49" i="83"/>
  <c r="E16" i="84"/>
  <c r="E47" i="84" s="1"/>
  <c r="F77" i="83"/>
  <c r="E205" i="55"/>
  <c r="B146" i="55"/>
  <c r="D205" i="55" s="1"/>
  <c r="D259" i="55"/>
  <c r="D37" i="55"/>
  <c r="D94" i="55" s="1"/>
  <c r="E48" i="83"/>
  <c r="B36" i="55"/>
  <c r="B93" i="55" s="1"/>
  <c r="C47" i="83"/>
  <c r="B14" i="84"/>
  <c r="B45" i="84" s="1"/>
  <c r="C75" i="83"/>
  <c r="D100" i="81"/>
  <c r="E100" i="81" s="1"/>
  <c r="F100" i="81" s="1"/>
  <c r="G100" i="81" s="1"/>
  <c r="H100" i="81" s="1"/>
  <c r="D14" i="53"/>
  <c r="D67" i="53" s="1"/>
  <c r="D97" i="81"/>
  <c r="D109" i="81"/>
  <c r="E109" i="81" s="1"/>
  <c r="F109" i="81" s="1"/>
  <c r="G109" i="81" s="1"/>
  <c r="H109" i="81" s="1"/>
  <c r="D98" i="81"/>
  <c r="D15" i="53"/>
  <c r="D68" i="53" s="1"/>
  <c r="D113" i="81"/>
  <c r="E30" i="53" s="1"/>
  <c r="E83" i="53" s="1"/>
  <c r="D99" i="81"/>
  <c r="E16" i="53" s="1"/>
  <c r="E69" i="53" s="1"/>
  <c r="D102" i="81"/>
  <c r="D19" i="53"/>
  <c r="D72" i="53" s="1"/>
  <c r="A109" i="81"/>
  <c r="A27" i="53" s="1"/>
  <c r="A30" i="72"/>
  <c r="A54" i="72" s="1"/>
  <c r="A117" i="72" s="1"/>
  <c r="B59" i="81"/>
  <c r="B75" i="81"/>
  <c r="B21" i="72" s="1"/>
  <c r="B45" i="72" s="1"/>
  <c r="D6" i="62"/>
  <c r="F44" i="48"/>
  <c r="H44" i="48"/>
  <c r="E44" i="48"/>
  <c r="J44" i="48"/>
  <c r="G44" i="48"/>
  <c r="I44" i="48"/>
  <c r="K44" i="48"/>
  <c r="A103" i="81"/>
  <c r="A20" i="53" s="1"/>
  <c r="A24" i="72"/>
  <c r="A48" i="72" s="1"/>
  <c r="A156" i="53"/>
  <c r="A224" i="53" s="1"/>
  <c r="A88" i="53"/>
  <c r="C123" i="83"/>
  <c r="C54" i="53"/>
  <c r="C107" i="53" s="1"/>
  <c r="F139" i="29"/>
  <c r="F169" i="29"/>
  <c r="F154" i="29"/>
  <c r="F124" i="29"/>
  <c r="F34" i="29"/>
  <c r="K30" i="48"/>
  <c r="K35" i="48"/>
  <c r="K33" i="48"/>
  <c r="K34" i="48"/>
  <c r="K28" i="48"/>
  <c r="K32" i="48"/>
  <c r="K37" i="48"/>
  <c r="K36" i="48"/>
  <c r="K38" i="48"/>
  <c r="K31" i="48"/>
  <c r="K52" i="48"/>
  <c r="K56" i="48" s="1"/>
  <c r="G33" i="21"/>
  <c r="D40" i="55"/>
  <c r="D97" i="55" s="1"/>
  <c r="E51" i="83"/>
  <c r="G263" i="55"/>
  <c r="E150" i="55"/>
  <c r="G209" i="55" s="1"/>
  <c r="F171" i="53"/>
  <c r="F239" i="53"/>
  <c r="D235" i="53"/>
  <c r="D167" i="53"/>
  <c r="D176" i="53"/>
  <c r="D241" i="53"/>
  <c r="E219" i="53"/>
  <c r="E151" i="53"/>
  <c r="I295" i="55"/>
  <c r="I255" i="55"/>
  <c r="I280" i="55"/>
  <c r="I221" i="55"/>
  <c r="J172" i="55"/>
  <c r="I222" i="55"/>
  <c r="I254" i="55"/>
  <c r="I294" i="55"/>
  <c r="I279" i="55"/>
  <c r="G10" i="21"/>
  <c r="J39" i="61"/>
  <c r="A92" i="81"/>
  <c r="A9" i="53" s="1"/>
  <c r="A13" i="72"/>
  <c r="A37" i="72" s="1"/>
  <c r="A58" i="72" s="1"/>
  <c r="E233" i="53"/>
  <c r="E165" i="53"/>
  <c r="C150" i="55"/>
  <c r="E263" i="55"/>
  <c r="H34" i="42"/>
  <c r="C35" i="55"/>
  <c r="D46" i="83"/>
  <c r="E262" i="55"/>
  <c r="C149" i="55"/>
  <c r="E208" i="55" s="1"/>
  <c r="F155" i="53"/>
  <c r="E116" i="83"/>
  <c r="E47" i="53"/>
  <c r="E100" i="53" s="1"/>
  <c r="E112" i="83"/>
  <c r="E43" i="53"/>
  <c r="E96" i="53" s="1"/>
  <c r="F226" i="53"/>
  <c r="D60" i="83"/>
  <c r="C49" i="55"/>
  <c r="C106" i="55" s="1"/>
  <c r="G225" i="55"/>
  <c r="G62" i="83"/>
  <c r="F51" i="55"/>
  <c r="F108" i="55" s="1"/>
  <c r="F50" i="53"/>
  <c r="F103" i="53" s="1"/>
  <c r="F119" i="83"/>
  <c r="I276" i="55"/>
  <c r="G135" i="72"/>
  <c r="G181" i="72" s="1"/>
  <c r="F180" i="72"/>
  <c r="F185" i="72" s="1"/>
  <c r="F8" i="62"/>
  <c r="C61" i="22"/>
  <c r="A66" i="53"/>
  <c r="A134" i="53"/>
  <c r="A202" i="53" s="1"/>
  <c r="B151" i="55"/>
  <c r="D210" i="55" s="1"/>
  <c r="D264" i="55"/>
  <c r="B158" i="55"/>
  <c r="D217" i="55" s="1"/>
  <c r="D271" i="55"/>
  <c r="F273" i="55"/>
  <c r="D160" i="55"/>
  <c r="F219" i="55" s="1"/>
  <c r="B71" i="81"/>
  <c r="B17" i="72" s="1"/>
  <c r="B41" i="72" s="1"/>
  <c r="I43" i="48"/>
  <c r="I49" i="48" s="1"/>
  <c r="H43" i="48"/>
  <c r="H49" i="48" s="1"/>
  <c r="F43" i="48"/>
  <c r="F49" i="48" s="1"/>
  <c r="G43" i="48"/>
  <c r="G49" i="48" s="1"/>
  <c r="J43" i="48"/>
  <c r="J49" i="48" s="1"/>
  <c r="E43" i="48"/>
  <c r="K43" i="48"/>
  <c r="K49" i="48" s="1"/>
  <c r="A22" i="84"/>
  <c r="A53" i="84" s="1"/>
  <c r="A102" i="84" s="1"/>
  <c r="A111" i="83"/>
  <c r="A42" i="53" s="1"/>
  <c r="A118" i="83"/>
  <c r="A49" i="53" s="1"/>
  <c r="A29" i="84"/>
  <c r="A60" i="84" s="1"/>
  <c r="A121" i="84" s="1"/>
  <c r="E274" i="53"/>
  <c r="E29" i="48"/>
  <c r="E39" i="48" s="1"/>
  <c r="F29" i="48"/>
  <c r="F39" i="48" s="1"/>
  <c r="G29" i="48"/>
  <c r="G39" i="48" s="1"/>
  <c r="I29" i="48"/>
  <c r="I39" i="48" s="1"/>
  <c r="J29" i="48"/>
  <c r="J39" i="48" s="1"/>
  <c r="H29" i="48"/>
  <c r="H39" i="48" s="1"/>
  <c r="K29" i="48"/>
  <c r="G124" i="53"/>
  <c r="F266" i="53"/>
  <c r="F268" i="53"/>
  <c r="F244" i="53"/>
  <c r="F215" i="53"/>
  <c r="F152" i="53"/>
  <c r="F269" i="53"/>
  <c r="F267" i="53"/>
  <c r="F220" i="53"/>
  <c r="F206" i="53"/>
  <c r="F229" i="53"/>
  <c r="F223" i="53"/>
  <c r="F160" i="53"/>
  <c r="F237" i="53"/>
  <c r="C30" i="21"/>
  <c r="A21" i="72"/>
  <c r="A45" i="72" s="1"/>
  <c r="A89" i="72" s="1"/>
  <c r="A100" i="81"/>
  <c r="D20" i="21"/>
  <c r="F45" i="42"/>
  <c r="F47" i="42" s="1"/>
  <c r="G52" i="61"/>
  <c r="D154" i="53"/>
  <c r="D222" i="53"/>
  <c r="H301" i="55"/>
  <c r="C22" i="53"/>
  <c r="C75" i="53" s="1"/>
  <c r="D226" i="53"/>
  <c r="D158" i="53"/>
  <c r="E158" i="53"/>
  <c r="F161" i="53"/>
  <c r="E113" i="83"/>
  <c r="E44" i="53"/>
  <c r="E97" i="53" s="1"/>
  <c r="D87" i="83"/>
  <c r="C26" i="84"/>
  <c r="C57" i="84" s="1"/>
  <c r="B92" i="55"/>
  <c r="G44" i="84"/>
  <c r="E236" i="53"/>
  <c r="E168" i="53"/>
  <c r="F169" i="53"/>
  <c r="C63" i="83"/>
  <c r="B52" i="55"/>
  <c r="B109" i="55" s="1"/>
  <c r="F157" i="53"/>
  <c r="F225" i="53"/>
  <c r="D124" i="83"/>
  <c r="D55" i="53"/>
  <c r="D108" i="53" s="1"/>
  <c r="J181" i="84"/>
  <c r="J180" i="84"/>
  <c r="J185" i="84" s="1"/>
  <c r="E164" i="53"/>
  <c r="E232" i="53"/>
  <c r="A102" i="83"/>
  <c r="A33" i="53" s="1"/>
  <c r="A13" i="84"/>
  <c r="A44" i="84" s="1"/>
  <c r="A67" i="84" s="1"/>
  <c r="B110" i="83"/>
  <c r="F22" i="83"/>
  <c r="H22" i="83" s="1"/>
  <c r="C29" i="21"/>
  <c r="A34" i="84"/>
  <c r="A62" i="84" s="1"/>
  <c r="A123" i="84" s="1"/>
  <c r="A123" i="83"/>
  <c r="A54" i="53" s="1"/>
  <c r="C10" i="21"/>
  <c r="F39" i="61"/>
  <c r="A29" i="72"/>
  <c r="A53" i="72" s="1"/>
  <c r="A114" i="72" s="1"/>
  <c r="A108" i="81"/>
  <c r="A25" i="53" s="1"/>
  <c r="A93" i="53"/>
  <c r="A161" i="53"/>
  <c r="A229" i="53" s="1"/>
  <c r="D53" i="83"/>
  <c r="C42" i="55"/>
  <c r="C99" i="55" s="1"/>
  <c r="B67" i="83"/>
  <c r="B95" i="83"/>
  <c r="D102" i="83"/>
  <c r="D33" i="53"/>
  <c r="D86" i="53" s="1"/>
  <c r="D90" i="83"/>
  <c r="C29" i="84"/>
  <c r="C60" i="84" s="1"/>
  <c r="I28" i="42"/>
  <c r="I37" i="42"/>
  <c r="I43" i="42" s="1"/>
  <c r="J17" i="42"/>
  <c r="I29" i="42"/>
  <c r="I27" i="42"/>
  <c r="D46" i="53"/>
  <c r="D99" i="53" s="1"/>
  <c r="D115" i="83"/>
  <c r="D88" i="83"/>
  <c r="C27" i="84"/>
  <c r="C58" i="84" s="1"/>
  <c r="C91" i="83"/>
  <c r="B30" i="84"/>
  <c r="B61" i="84" s="1"/>
  <c r="F36" i="53"/>
  <c r="F89" i="53" s="1"/>
  <c r="F105" i="83"/>
  <c r="F228" i="53"/>
  <c r="G52" i="83"/>
  <c r="F41" i="55"/>
  <c r="F98" i="55" s="1"/>
  <c r="B36" i="21"/>
  <c r="B53" i="81"/>
  <c r="C53" i="81" s="1"/>
  <c r="B78" i="81"/>
  <c r="D18" i="53"/>
  <c r="D71" i="53" s="1"/>
  <c r="D101" i="81"/>
  <c r="C9" i="53"/>
  <c r="C62" i="53" s="1"/>
  <c r="B14" i="55"/>
  <c r="B71" i="55" s="1"/>
  <c r="B21" i="55"/>
  <c r="B78" i="55" s="1"/>
  <c r="B18" i="55"/>
  <c r="B75" i="55" s="1"/>
  <c r="B15" i="55"/>
  <c r="B72" i="55" s="1"/>
  <c r="C74" i="81"/>
  <c r="B20" i="72"/>
  <c r="B44" i="72" s="1"/>
  <c r="B19" i="55"/>
  <c r="B76" i="55" s="1"/>
  <c r="B19" i="72"/>
  <c r="B43" i="72" s="1"/>
  <c r="B70" i="72" s="1"/>
  <c r="D157" i="72" s="1"/>
  <c r="C73" i="81"/>
  <c r="B13" i="55"/>
  <c r="B70" i="55" s="1"/>
  <c r="B14" i="72"/>
  <c r="B38" i="72" s="1"/>
  <c r="C77" i="81"/>
  <c r="B23" i="72"/>
  <c r="B47" i="72" s="1"/>
  <c r="B77" i="72" s="1"/>
  <c r="B17" i="55"/>
  <c r="B74" i="55" s="1"/>
  <c r="C69" i="81"/>
  <c r="B15" i="72"/>
  <c r="B39" i="72" s="1"/>
  <c r="C84" i="81"/>
  <c r="B30" i="72"/>
  <c r="P11" i="61"/>
  <c r="O16" i="61"/>
  <c r="D12" i="62" l="1"/>
  <c r="F6" i="62"/>
  <c r="E45" i="42"/>
  <c r="E47" i="42" s="1"/>
  <c r="E20" i="21"/>
  <c r="G45" i="42"/>
  <c r="G47" i="42" s="1"/>
  <c r="C146" i="29"/>
  <c r="D160" i="72"/>
  <c r="N46" i="85"/>
  <c r="N4" i="85"/>
  <c r="A64" i="72"/>
  <c r="B132" i="55"/>
  <c r="D190" i="55" s="1"/>
  <c r="E38" i="22"/>
  <c r="H38" i="22"/>
  <c r="K52" i="22"/>
  <c r="L49" i="22" s="1"/>
  <c r="L50" i="22" s="1"/>
  <c r="L51" i="22" s="1"/>
  <c r="G38" i="22"/>
  <c r="I38" i="22"/>
  <c r="C52" i="22"/>
  <c r="D49" i="22" s="1"/>
  <c r="D52" i="22" s="1"/>
  <c r="E49" i="22" s="1"/>
  <c r="E52" i="22" s="1"/>
  <c r="F49" i="22" s="1"/>
  <c r="F52" i="22" s="1"/>
  <c r="G49" i="22" s="1"/>
  <c r="G52" i="22" s="1"/>
  <c r="H49" i="22" s="1"/>
  <c r="H52" i="22" s="1"/>
  <c r="I49" i="22" s="1"/>
  <c r="I52" i="22" s="1"/>
  <c r="K37" i="22"/>
  <c r="K38" i="22" s="1"/>
  <c r="K40" i="22" s="1"/>
  <c r="D38" i="22"/>
  <c r="F38" i="22"/>
  <c r="B80" i="81"/>
  <c r="B26" i="72" s="1"/>
  <c r="B50" i="72" s="1"/>
  <c r="B54" i="72"/>
  <c r="B12" i="55"/>
  <c r="B69" i="55" s="1"/>
  <c r="B121" i="55" s="1"/>
  <c r="D179" i="55" s="1"/>
  <c r="C43" i="81"/>
  <c r="C12" i="55" s="1"/>
  <c r="C69" i="55" s="1"/>
  <c r="B26" i="55"/>
  <c r="B83" i="55" s="1"/>
  <c r="D248" i="55" s="1"/>
  <c r="C57" i="81"/>
  <c r="C26" i="55" s="1"/>
  <c r="C83" i="55" s="1"/>
  <c r="B28" i="55"/>
  <c r="B85" i="55" s="1"/>
  <c r="B137" i="55" s="1"/>
  <c r="D195" i="55" s="1"/>
  <c r="C59" i="81"/>
  <c r="C28" i="55" s="1"/>
  <c r="C85" i="55" s="1"/>
  <c r="C107" i="81"/>
  <c r="D107" i="81" s="1"/>
  <c r="E24" i="53" s="1"/>
  <c r="E77" i="53" s="1"/>
  <c r="D51" i="22"/>
  <c r="E51" i="22" s="1"/>
  <c r="F51" i="22" s="1"/>
  <c r="G51" i="22" s="1"/>
  <c r="H51" i="22" s="1"/>
  <c r="I51" i="22" s="1"/>
  <c r="G56" i="22"/>
  <c r="K55" i="22"/>
  <c r="K56" i="22" s="1"/>
  <c r="K57" i="22" s="1"/>
  <c r="C56" i="22"/>
  <c r="C57" i="22" s="1"/>
  <c r="D56" i="22"/>
  <c r="E56" i="22"/>
  <c r="I56" i="22"/>
  <c r="F56" i="22"/>
  <c r="B159" i="55"/>
  <c r="D218" i="55" s="1"/>
  <c r="D272" i="55"/>
  <c r="E57" i="53"/>
  <c r="E110" i="53" s="1"/>
  <c r="E126" i="83"/>
  <c r="H59" i="83"/>
  <c r="H48" i="55" s="1"/>
  <c r="H105" i="55" s="1"/>
  <c r="H157" i="55" s="1"/>
  <c r="G48" i="55"/>
  <c r="G105" i="55" s="1"/>
  <c r="B37" i="84"/>
  <c r="B65" i="84" s="1"/>
  <c r="C98" i="83"/>
  <c r="B92" i="83"/>
  <c r="B64" i="83"/>
  <c r="C64" i="83" s="1"/>
  <c r="D64" i="83" s="1"/>
  <c r="E64" i="83" s="1"/>
  <c r="F64" i="83" s="1"/>
  <c r="G64" i="83" s="1"/>
  <c r="H64" i="83" s="1"/>
  <c r="D89" i="83"/>
  <c r="C28" i="84"/>
  <c r="C59" i="84" s="1"/>
  <c r="E107" i="83"/>
  <c r="E38" i="53"/>
  <c r="E91" i="53" s="1"/>
  <c r="G117" i="83"/>
  <c r="G48" i="53"/>
  <c r="G101" i="53" s="1"/>
  <c r="E118" i="83"/>
  <c r="E49" i="53"/>
  <c r="E102" i="53" s="1"/>
  <c r="D81" i="83"/>
  <c r="C20" i="84"/>
  <c r="C51" i="84" s="1"/>
  <c r="F157" i="55"/>
  <c r="H216" i="55" s="1"/>
  <c r="H270" i="55"/>
  <c r="B66" i="83"/>
  <c r="C66" i="83" s="1"/>
  <c r="D66" i="83" s="1"/>
  <c r="E66" i="83" s="1"/>
  <c r="F66" i="83" s="1"/>
  <c r="G66" i="83" s="1"/>
  <c r="H66" i="83" s="1"/>
  <c r="B94" i="83"/>
  <c r="B59" i="55"/>
  <c r="B116" i="55" s="1"/>
  <c r="C70" i="83"/>
  <c r="C51" i="53"/>
  <c r="C104" i="53" s="1"/>
  <c r="D172" i="53" s="1"/>
  <c r="C120" i="83"/>
  <c r="C121" i="83"/>
  <c r="C52" i="53"/>
  <c r="C105" i="53" s="1"/>
  <c r="D173" i="53" s="1"/>
  <c r="D104" i="83"/>
  <c r="D35" i="53"/>
  <c r="D88" i="53" s="1"/>
  <c r="E114" i="83"/>
  <c r="E45" i="53"/>
  <c r="E98" i="53" s="1"/>
  <c r="D76" i="83"/>
  <c r="C15" i="84"/>
  <c r="C46" i="84" s="1"/>
  <c r="E170" i="53"/>
  <c r="E238" i="53"/>
  <c r="B69" i="83"/>
  <c r="B97" i="83"/>
  <c r="D111" i="83"/>
  <c r="D42" i="53"/>
  <c r="D95" i="53" s="1"/>
  <c r="E35" i="84"/>
  <c r="E63" i="84" s="1"/>
  <c r="F96" i="83"/>
  <c r="E159" i="53"/>
  <c r="E227" i="53"/>
  <c r="D163" i="53"/>
  <c r="D231" i="53"/>
  <c r="C50" i="55"/>
  <c r="C107" i="55" s="1"/>
  <c r="D61" i="83"/>
  <c r="B65" i="83"/>
  <c r="C65" i="83" s="1"/>
  <c r="D65" i="83" s="1"/>
  <c r="E65" i="83" s="1"/>
  <c r="F65" i="83" s="1"/>
  <c r="G65" i="83" s="1"/>
  <c r="H65" i="83" s="1"/>
  <c r="B93" i="83"/>
  <c r="D224" i="53"/>
  <c r="D156" i="53"/>
  <c r="E234" i="53"/>
  <c r="E166" i="53"/>
  <c r="E178" i="53"/>
  <c r="E243" i="53"/>
  <c r="C53" i="53"/>
  <c r="C106" i="53" s="1"/>
  <c r="D174" i="53" s="1"/>
  <c r="C122" i="83"/>
  <c r="F37" i="53"/>
  <c r="F90" i="53" s="1"/>
  <c r="F106" i="83"/>
  <c r="C56" i="53"/>
  <c r="C109" i="53" s="1"/>
  <c r="C125" i="83"/>
  <c r="D94" i="81"/>
  <c r="E11" i="53" s="1"/>
  <c r="E64" i="53" s="1"/>
  <c r="F200" i="53" s="1"/>
  <c r="D213" i="53"/>
  <c r="D207" i="53"/>
  <c r="D131" i="53"/>
  <c r="D201" i="53"/>
  <c r="C20" i="21"/>
  <c r="C110" i="81"/>
  <c r="D110" i="81" s="1"/>
  <c r="D202" i="53"/>
  <c r="C111" i="81"/>
  <c r="D28" i="53" s="1"/>
  <c r="D81" i="53" s="1"/>
  <c r="E217" i="53" s="1"/>
  <c r="C103" i="81"/>
  <c r="D20" i="53" s="1"/>
  <c r="D73" i="53" s="1"/>
  <c r="E209" i="53" s="1"/>
  <c r="C104" i="81"/>
  <c r="D21" i="53" s="1"/>
  <c r="D74" i="53" s="1"/>
  <c r="E142" i="53" s="1"/>
  <c r="D13" i="53"/>
  <c r="D66" i="53" s="1"/>
  <c r="E202" i="53" s="1"/>
  <c r="F132" i="53"/>
  <c r="D95" i="81"/>
  <c r="E95" i="81" s="1"/>
  <c r="D54" i="81"/>
  <c r="E54" i="81" s="1"/>
  <c r="C72" i="81"/>
  <c r="C18" i="72" s="1"/>
  <c r="C42" i="72" s="1"/>
  <c r="B60" i="81"/>
  <c r="C60" i="81" s="1"/>
  <c r="D136" i="53"/>
  <c r="E132" i="53"/>
  <c r="E131" i="53"/>
  <c r="B16" i="72"/>
  <c r="B40" i="72" s="1"/>
  <c r="D93" i="81"/>
  <c r="E10" i="53" s="1"/>
  <c r="E63" i="53" s="1"/>
  <c r="D132" i="53"/>
  <c r="C79" i="81"/>
  <c r="D79" i="81" s="1"/>
  <c r="D25" i="72" s="1"/>
  <c r="D49" i="72" s="1"/>
  <c r="B16" i="55"/>
  <c r="B73" i="55" s="1"/>
  <c r="B125" i="55" s="1"/>
  <c r="D183" i="55" s="1"/>
  <c r="D142" i="53"/>
  <c r="C20" i="53"/>
  <c r="C73" i="53" s="1"/>
  <c r="D209" i="53" s="1"/>
  <c r="D146" i="53"/>
  <c r="C28" i="53"/>
  <c r="C81" i="53" s="1"/>
  <c r="D149" i="53" s="1"/>
  <c r="E146" i="53"/>
  <c r="D108" i="81"/>
  <c r="E108" i="81" s="1"/>
  <c r="F25" i="53" s="1"/>
  <c r="F78" i="53" s="1"/>
  <c r="B27" i="55"/>
  <c r="B84" i="55" s="1"/>
  <c r="B136" i="55" s="1"/>
  <c r="D194" i="55" s="1"/>
  <c r="C23" i="53"/>
  <c r="C76" i="53" s="1"/>
  <c r="B56" i="81"/>
  <c r="C56" i="81" s="1"/>
  <c r="B81" i="81"/>
  <c r="B83" i="81"/>
  <c r="C83" i="81" s="1"/>
  <c r="C29" i="72" s="1"/>
  <c r="C53" i="72" s="1"/>
  <c r="B51" i="81"/>
  <c r="C51" i="81" s="1"/>
  <c r="B24" i="55"/>
  <c r="B81" i="55" s="1"/>
  <c r="B133" i="55" s="1"/>
  <c r="D191" i="55" s="1"/>
  <c r="C82" i="81"/>
  <c r="C28" i="72" s="1"/>
  <c r="C52" i="72" s="1"/>
  <c r="C27" i="53"/>
  <c r="C80" i="53" s="1"/>
  <c r="D216" i="53" s="1"/>
  <c r="F34" i="72"/>
  <c r="G33" i="72"/>
  <c r="C67" i="81"/>
  <c r="C13" i="72" s="1"/>
  <c r="C80" i="81"/>
  <c r="C26" i="72" s="1"/>
  <c r="C50" i="72" s="1"/>
  <c r="B22" i="72"/>
  <c r="B46" i="72" s="1"/>
  <c r="B11" i="55"/>
  <c r="B61" i="81"/>
  <c r="C61" i="81" s="1"/>
  <c r="B86" i="81"/>
  <c r="C86" i="81" s="1"/>
  <c r="D86" i="81" s="1"/>
  <c r="E86" i="81" s="1"/>
  <c r="F86" i="81" s="1"/>
  <c r="G86" i="81" s="1"/>
  <c r="H86" i="81" s="1"/>
  <c r="B13" i="72"/>
  <c r="B37" i="72" s="1"/>
  <c r="E113" i="81"/>
  <c r="F30" i="53" s="1"/>
  <c r="F83" i="53" s="1"/>
  <c r="I34" i="42"/>
  <c r="G20" i="21" s="1"/>
  <c r="C71" i="81"/>
  <c r="C17" i="72" s="1"/>
  <c r="C41" i="72" s="1"/>
  <c r="G103" i="83"/>
  <c r="G34" i="53"/>
  <c r="G87" i="53" s="1"/>
  <c r="D80" i="83"/>
  <c r="C19" i="84"/>
  <c r="C50" i="84" s="1"/>
  <c r="E260" i="55"/>
  <c r="C147" i="55"/>
  <c r="C156" i="55"/>
  <c r="E215" i="55" s="1"/>
  <c r="E269" i="55"/>
  <c r="D47" i="55"/>
  <c r="D104" i="55" s="1"/>
  <c r="E58" i="83"/>
  <c r="E25" i="84"/>
  <c r="E56" i="84" s="1"/>
  <c r="F86" i="83"/>
  <c r="D57" i="83"/>
  <c r="C46" i="55"/>
  <c r="C103" i="55" s="1"/>
  <c r="B155" i="55"/>
  <c r="D214" i="55" s="1"/>
  <c r="D268" i="55"/>
  <c r="C24" i="84"/>
  <c r="C55" i="84" s="1"/>
  <c r="D85" i="83"/>
  <c r="C23" i="84"/>
  <c r="C54" i="84" s="1"/>
  <c r="D84" i="83"/>
  <c r="D56" i="83"/>
  <c r="C45" i="55"/>
  <c r="C102" i="55" s="1"/>
  <c r="D267" i="55"/>
  <c r="B154" i="55"/>
  <c r="D213" i="55" s="1"/>
  <c r="D55" i="83"/>
  <c r="C44" i="55"/>
  <c r="C101" i="55" s="1"/>
  <c r="C22" i="84"/>
  <c r="C53" i="84" s="1"/>
  <c r="D83" i="83"/>
  <c r="B153" i="55"/>
  <c r="D212" i="55" s="1"/>
  <c r="D266" i="55"/>
  <c r="D79" i="83"/>
  <c r="C18" i="84"/>
  <c r="C49" i="84" s="1"/>
  <c r="D148" i="55"/>
  <c r="F207" i="55" s="1"/>
  <c r="F261" i="55"/>
  <c r="D17" i="84"/>
  <c r="D48" i="84" s="1"/>
  <c r="E78" i="83"/>
  <c r="F50" i="83"/>
  <c r="E39" i="55"/>
  <c r="E96" i="55" s="1"/>
  <c r="G49" i="83"/>
  <c r="F38" i="55"/>
  <c r="F95" i="55" s="1"/>
  <c r="E147" i="55"/>
  <c r="G206" i="55" s="1"/>
  <c r="G260" i="55"/>
  <c r="G77" i="83"/>
  <c r="F16" i="84"/>
  <c r="F47" i="84" s="1"/>
  <c r="D146" i="55"/>
  <c r="F205" i="55" s="1"/>
  <c r="F259" i="55"/>
  <c r="F48" i="83"/>
  <c r="E37" i="55"/>
  <c r="E94" i="55" s="1"/>
  <c r="D258" i="55"/>
  <c r="B145" i="55"/>
  <c r="D204" i="55" s="1"/>
  <c r="D75" i="83"/>
  <c r="C14" i="84"/>
  <c r="C45" i="84" s="1"/>
  <c r="C36" i="55"/>
  <c r="C93" i="55" s="1"/>
  <c r="D47" i="83"/>
  <c r="E99" i="81"/>
  <c r="F16" i="53" s="1"/>
  <c r="F69" i="53" s="1"/>
  <c r="G137" i="53" s="1"/>
  <c r="E204" i="53"/>
  <c r="E136" i="53"/>
  <c r="E97" i="81"/>
  <c r="E14" i="53"/>
  <c r="E67" i="53" s="1"/>
  <c r="E102" i="81"/>
  <c r="E19" i="53"/>
  <c r="E72" i="53" s="1"/>
  <c r="E15" i="53"/>
  <c r="E68" i="53" s="1"/>
  <c r="E98" i="81"/>
  <c r="E135" i="53"/>
  <c r="E203" i="53"/>
  <c r="E13" i="53"/>
  <c r="E66" i="53" s="1"/>
  <c r="E96" i="81"/>
  <c r="E208" i="53"/>
  <c r="E140" i="53"/>
  <c r="A148" i="53"/>
  <c r="A216" i="53" s="1"/>
  <c r="A80" i="53"/>
  <c r="C75" i="81"/>
  <c r="D75" i="81" s="1"/>
  <c r="F137" i="53"/>
  <c r="F205" i="53"/>
  <c r="C24" i="68"/>
  <c r="C176" i="29"/>
  <c r="C161" i="29"/>
  <c r="C131" i="29"/>
  <c r="D10" i="62"/>
  <c r="D86" i="22" s="1"/>
  <c r="D62" i="22"/>
  <c r="C62" i="22"/>
  <c r="C63" i="22" s="1"/>
  <c r="G62" i="22"/>
  <c r="I62" i="22"/>
  <c r="H62" i="22"/>
  <c r="F62" i="22"/>
  <c r="E62" i="22"/>
  <c r="K61" i="22"/>
  <c r="K62" i="22" s="1"/>
  <c r="K63" i="22" s="1"/>
  <c r="G180" i="72"/>
  <c r="G185" i="72" s="1"/>
  <c r="H135" i="72"/>
  <c r="H181" i="72" s="1"/>
  <c r="F232" i="53"/>
  <c r="F164" i="53"/>
  <c r="F47" i="53"/>
  <c r="F100" i="53" s="1"/>
  <c r="F116" i="83"/>
  <c r="J295" i="55"/>
  <c r="J280" i="55"/>
  <c r="J221" i="55"/>
  <c r="J254" i="55"/>
  <c r="J223" i="55"/>
  <c r="J255" i="55"/>
  <c r="J294" i="55"/>
  <c r="J279" i="55"/>
  <c r="J276" i="55"/>
  <c r="J222" i="55"/>
  <c r="J199" i="55"/>
  <c r="J270" i="55"/>
  <c r="J225" i="55"/>
  <c r="F51" i="83"/>
  <c r="E40" i="55"/>
  <c r="E97" i="55" s="1"/>
  <c r="H31" i="21"/>
  <c r="E154" i="53"/>
  <c r="E222" i="53"/>
  <c r="B54" i="83"/>
  <c r="B82" i="83"/>
  <c r="F151" i="53"/>
  <c r="F219" i="53"/>
  <c r="B161" i="55"/>
  <c r="D220" i="55" s="1"/>
  <c r="D274" i="55"/>
  <c r="A102" i="53"/>
  <c r="A170" i="53"/>
  <c r="A238" i="53" s="1"/>
  <c r="F150" i="55"/>
  <c r="H209" i="55" s="1"/>
  <c r="H263" i="55"/>
  <c r="G36" i="53"/>
  <c r="G89" i="53" s="1"/>
  <c r="G105" i="83"/>
  <c r="E167" i="53"/>
  <c r="E235" i="53"/>
  <c r="E102" i="83"/>
  <c r="E33" i="53"/>
  <c r="E86" i="53" s="1"/>
  <c r="C67" i="83"/>
  <c r="B56" i="55"/>
  <c r="B113" i="55" s="1"/>
  <c r="C41" i="53"/>
  <c r="C94" i="53" s="1"/>
  <c r="C110" i="83"/>
  <c r="D35" i="21"/>
  <c r="H33" i="21"/>
  <c r="D63" i="83"/>
  <c r="C52" i="55"/>
  <c r="C109" i="55" s="1"/>
  <c r="E87" i="83"/>
  <c r="D26" i="84"/>
  <c r="D57" i="84" s="1"/>
  <c r="D143" i="53"/>
  <c r="D211" i="53"/>
  <c r="F274" i="53"/>
  <c r="G11" i="21"/>
  <c r="J36" i="61"/>
  <c r="E36" i="61"/>
  <c r="B11" i="21"/>
  <c r="C17" i="68"/>
  <c r="C43" i="22"/>
  <c r="A163" i="53"/>
  <c r="A231" i="53" s="1"/>
  <c r="A95" i="53"/>
  <c r="E49" i="48"/>
  <c r="H49" i="61"/>
  <c r="E21" i="21"/>
  <c r="H57" i="48"/>
  <c r="G119" i="83"/>
  <c r="G50" i="53"/>
  <c r="G103" i="53" s="1"/>
  <c r="F160" i="55"/>
  <c r="H219" i="55" s="1"/>
  <c r="H273" i="55"/>
  <c r="E271" i="55"/>
  <c r="C158" i="55"/>
  <c r="E217" i="55" s="1"/>
  <c r="F43" i="53"/>
  <c r="F96" i="53" s="1"/>
  <c r="F112" i="83"/>
  <c r="H45" i="42"/>
  <c r="H47" i="42" s="1"/>
  <c r="F20" i="21"/>
  <c r="I52" i="61"/>
  <c r="I301" i="55"/>
  <c r="F262" i="55"/>
  <c r="D149" i="55"/>
  <c r="F208" i="55" s="1"/>
  <c r="E115" i="83"/>
  <c r="E46" i="53"/>
  <c r="E99" i="53" s="1"/>
  <c r="C85" i="81"/>
  <c r="B31" i="72"/>
  <c r="B55" i="72" s="1"/>
  <c r="B71" i="72" s="1"/>
  <c r="D158" i="72" s="1"/>
  <c r="B34" i="84"/>
  <c r="B62" i="84" s="1"/>
  <c r="C95" i="83"/>
  <c r="D22" i="53"/>
  <c r="D75" i="53" s="1"/>
  <c r="D105" i="81"/>
  <c r="C29" i="53"/>
  <c r="C82" i="53" s="1"/>
  <c r="H36" i="61"/>
  <c r="E11" i="21"/>
  <c r="H59" i="48"/>
  <c r="F59" i="48"/>
  <c r="C11" i="21"/>
  <c r="F36" i="61"/>
  <c r="K49" i="61"/>
  <c r="K57" i="48"/>
  <c r="H21" i="21"/>
  <c r="H52" i="83"/>
  <c r="H41" i="55" s="1"/>
  <c r="H98" i="55" s="1"/>
  <c r="G41" i="55"/>
  <c r="G98" i="55" s="1"/>
  <c r="G157" i="53"/>
  <c r="G225" i="53"/>
  <c r="D91" i="83"/>
  <c r="C30" i="84"/>
  <c r="C61" i="84" s="1"/>
  <c r="D27" i="84"/>
  <c r="D58" i="84" s="1"/>
  <c r="E88" i="83"/>
  <c r="J37" i="42"/>
  <c r="J43" i="42" s="1"/>
  <c r="J29" i="42"/>
  <c r="J28" i="42"/>
  <c r="J27" i="42"/>
  <c r="J21" i="42"/>
  <c r="J23" i="42" s="1"/>
  <c r="D29" i="84"/>
  <c r="D60" i="84" s="1"/>
  <c r="E90" i="83"/>
  <c r="E264" i="55"/>
  <c r="C151" i="55"/>
  <c r="E210" i="55" s="1"/>
  <c r="A146" i="53"/>
  <c r="A214" i="53" s="1"/>
  <c r="A78" i="53"/>
  <c r="D124" i="29"/>
  <c r="D154" i="29"/>
  <c r="D139" i="29"/>
  <c r="D169" i="29"/>
  <c r="D34" i="29"/>
  <c r="E241" i="53"/>
  <c r="E176" i="53"/>
  <c r="D257" i="55"/>
  <c r="B144" i="55"/>
  <c r="D203" i="55" s="1"/>
  <c r="F233" i="53"/>
  <c r="F165" i="53"/>
  <c r="F28" i="21"/>
  <c r="G215" i="53"/>
  <c r="G268" i="53"/>
  <c r="G152" i="53"/>
  <c r="G220" i="53"/>
  <c r="G244" i="53"/>
  <c r="G266" i="53"/>
  <c r="G274" i="53" s="1"/>
  <c r="G206" i="53"/>
  <c r="G269" i="53"/>
  <c r="H124" i="53"/>
  <c r="G223" i="53"/>
  <c r="G155" i="53"/>
  <c r="G160" i="53"/>
  <c r="G267" i="53"/>
  <c r="G228" i="53"/>
  <c r="G226" i="53"/>
  <c r="G169" i="53"/>
  <c r="G229" i="53"/>
  <c r="G237" i="53"/>
  <c r="G158" i="53"/>
  <c r="G161" i="53"/>
  <c r="F11" i="21"/>
  <c r="I36" i="61"/>
  <c r="C32" i="21"/>
  <c r="J49" i="61"/>
  <c r="J57" i="48"/>
  <c r="J59" i="48" s="1"/>
  <c r="G21" i="21"/>
  <c r="I49" i="61"/>
  <c r="F21" i="21"/>
  <c r="I57" i="48"/>
  <c r="I59" i="48" s="1"/>
  <c r="G171" i="53"/>
  <c r="G239" i="53"/>
  <c r="G51" i="55"/>
  <c r="G108" i="55" s="1"/>
  <c r="H62" i="83"/>
  <c r="H51" i="55" s="1"/>
  <c r="H108" i="55" s="1"/>
  <c r="E60" i="83"/>
  <c r="D49" i="55"/>
  <c r="D106" i="55" s="1"/>
  <c r="E46" i="83"/>
  <c r="D35" i="55"/>
  <c r="H139" i="29"/>
  <c r="H169" i="29"/>
  <c r="H34" i="29"/>
  <c r="H154" i="29"/>
  <c r="H124" i="29"/>
  <c r="K39" i="48"/>
  <c r="D175" i="53"/>
  <c r="D240" i="53"/>
  <c r="H35" i="21"/>
  <c r="A175" i="53"/>
  <c r="A240" i="53" s="1"/>
  <c r="A107" i="53"/>
  <c r="F49" i="61"/>
  <c r="F57" i="48"/>
  <c r="C21" i="21"/>
  <c r="G30" i="21"/>
  <c r="D42" i="55"/>
  <c r="D99" i="55" s="1"/>
  <c r="E53" i="83"/>
  <c r="F35" i="21"/>
  <c r="A154" i="53"/>
  <c r="A222" i="53" s="1"/>
  <c r="A86" i="53"/>
  <c r="E55" i="53"/>
  <c r="E108" i="53" s="1"/>
  <c r="E124" i="83"/>
  <c r="F44" i="53"/>
  <c r="F97" i="53" s="1"/>
  <c r="F113" i="83"/>
  <c r="B62" i="81"/>
  <c r="C62" i="81" s="1"/>
  <c r="B87" i="81"/>
  <c r="C87" i="81" s="1"/>
  <c r="D87" i="81" s="1"/>
  <c r="E87" i="81" s="1"/>
  <c r="F87" i="81" s="1"/>
  <c r="G87" i="81" s="1"/>
  <c r="H87" i="81" s="1"/>
  <c r="D11" i="21"/>
  <c r="G36" i="61"/>
  <c r="C35" i="21"/>
  <c r="C36" i="21" s="1"/>
  <c r="D21" i="21"/>
  <c r="G49" i="61"/>
  <c r="G57" i="48"/>
  <c r="G59" i="48" s="1"/>
  <c r="D29" i="21"/>
  <c r="G219" i="55"/>
  <c r="F168" i="53"/>
  <c r="F236" i="53"/>
  <c r="C92" i="55"/>
  <c r="E209" i="55"/>
  <c r="F209" i="55"/>
  <c r="A130" i="53"/>
  <c r="A198" i="53" s="1"/>
  <c r="A62" i="53"/>
  <c r="D54" i="53"/>
  <c r="D107" i="53" s="1"/>
  <c r="D123" i="83"/>
  <c r="A73" i="53"/>
  <c r="A141" i="53"/>
  <c r="A209" i="53" s="1"/>
  <c r="D47" i="81"/>
  <c r="C16" i="55"/>
  <c r="C73" i="55" s="1"/>
  <c r="E245" i="55"/>
  <c r="C132" i="55"/>
  <c r="E190" i="55" s="1"/>
  <c r="E18" i="53"/>
  <c r="E71" i="53" s="1"/>
  <c r="E101" i="81"/>
  <c r="E207" i="53"/>
  <c r="E139" i="53"/>
  <c r="B24" i="72"/>
  <c r="B48" i="72" s="1"/>
  <c r="B64" i="72" s="1"/>
  <c r="D155" i="72" s="1"/>
  <c r="C78" i="81"/>
  <c r="B22" i="55"/>
  <c r="B79" i="55" s="1"/>
  <c r="D130" i="53"/>
  <c r="D198" i="53"/>
  <c r="D9" i="53"/>
  <c r="D62" i="53" s="1"/>
  <c r="D92" i="81"/>
  <c r="D76" i="81"/>
  <c r="C22" i="72"/>
  <c r="C46" i="72" s="1"/>
  <c r="C11" i="55"/>
  <c r="D42" i="81"/>
  <c r="D241" i="55"/>
  <c r="B128" i="55"/>
  <c r="D186" i="55" s="1"/>
  <c r="C20" i="72"/>
  <c r="C44" i="72" s="1"/>
  <c r="D74" i="81"/>
  <c r="C27" i="55"/>
  <c r="C84" i="55" s="1"/>
  <c r="D58" i="81"/>
  <c r="B127" i="55"/>
  <c r="D185" i="55" s="1"/>
  <c r="D240" i="55"/>
  <c r="C14" i="72"/>
  <c r="C38" i="72" s="1"/>
  <c r="D50" i="81"/>
  <c r="C19" i="55"/>
  <c r="C76" i="55" s="1"/>
  <c r="E201" i="53"/>
  <c r="E133" i="53"/>
  <c r="D237" i="55"/>
  <c r="B124" i="55"/>
  <c r="D182" i="55" s="1"/>
  <c r="D70" i="81"/>
  <c r="C16" i="72"/>
  <c r="C40" i="72" s="1"/>
  <c r="B126" i="55"/>
  <c r="D184" i="55" s="1"/>
  <c r="D239" i="55"/>
  <c r="D44" i="81"/>
  <c r="C13" i="55"/>
  <c r="C70" i="55" s="1"/>
  <c r="D73" i="81"/>
  <c r="C19" i="72"/>
  <c r="C43" i="72" s="1"/>
  <c r="C70" i="72" s="1"/>
  <c r="C15" i="55"/>
  <c r="C72" i="55" s="1"/>
  <c r="D46" i="81"/>
  <c r="D243" i="55"/>
  <c r="B130" i="55"/>
  <c r="D188" i="55" s="1"/>
  <c r="D45" i="81"/>
  <c r="C14" i="55"/>
  <c r="C71" i="55" s="1"/>
  <c r="C30" i="72"/>
  <c r="D84" i="81"/>
  <c r="D69" i="81"/>
  <c r="C15" i="72"/>
  <c r="C39" i="72" s="1"/>
  <c r="C17" i="55"/>
  <c r="C74" i="55" s="1"/>
  <c r="D48" i="81"/>
  <c r="D77" i="81"/>
  <c r="C23" i="72"/>
  <c r="C47" i="72" s="1"/>
  <c r="C77" i="72" s="1"/>
  <c r="D235" i="55"/>
  <c r="B122" i="55"/>
  <c r="D180" i="55" s="1"/>
  <c r="C24" i="55"/>
  <c r="C81" i="55" s="1"/>
  <c r="D55" i="81"/>
  <c r="D49" i="81"/>
  <c r="C18" i="55"/>
  <c r="C75" i="55" s="1"/>
  <c r="C21" i="55"/>
  <c r="C78" i="55" s="1"/>
  <c r="D52" i="81"/>
  <c r="B123" i="55"/>
  <c r="D181" i="55" s="1"/>
  <c r="D236" i="55"/>
  <c r="Q11" i="61"/>
  <c r="P16" i="61"/>
  <c r="C39" i="22"/>
  <c r="D37" i="22"/>
  <c r="L52" i="22" l="1"/>
  <c r="M49" i="22" s="1"/>
  <c r="M50" i="22" s="1"/>
  <c r="M51" i="22" s="1"/>
  <c r="D154" i="72"/>
  <c r="B58" i="72"/>
  <c r="N50" i="85"/>
  <c r="N48" i="85" s="1"/>
  <c r="E160" i="72"/>
  <c r="O46" i="85"/>
  <c r="O4" i="85"/>
  <c r="E157" i="72"/>
  <c r="D250" i="55"/>
  <c r="N6" i="85"/>
  <c r="N31" i="85"/>
  <c r="N35" i="85" s="1"/>
  <c r="C54" i="72"/>
  <c r="B68" i="55"/>
  <c r="D233" i="55" s="1"/>
  <c r="B135" i="55"/>
  <c r="D193" i="55" s="1"/>
  <c r="E107" i="81"/>
  <c r="D234" i="55"/>
  <c r="E94" i="81"/>
  <c r="F94" i="81" s="1"/>
  <c r="D24" i="53"/>
  <c r="D77" i="53" s="1"/>
  <c r="C58" i="22"/>
  <c r="D55" i="22" s="1"/>
  <c r="D58" i="22" s="1"/>
  <c r="E55" i="22" s="1"/>
  <c r="E58" i="22" s="1"/>
  <c r="F55" i="22" s="1"/>
  <c r="F58" i="22" s="1"/>
  <c r="G55" i="22" s="1"/>
  <c r="G58" i="22" s="1"/>
  <c r="H55" i="22" s="1"/>
  <c r="H58" i="22" s="1"/>
  <c r="I55" i="22" s="1"/>
  <c r="I58" i="22" s="1"/>
  <c r="K58" i="22"/>
  <c r="L55" i="22" s="1"/>
  <c r="L56" i="22" s="1"/>
  <c r="L57" i="22" s="1"/>
  <c r="D57" i="22"/>
  <c r="E57" i="22" s="1"/>
  <c r="F57" i="22" s="1"/>
  <c r="G57" i="22" s="1"/>
  <c r="H57" i="22" s="1"/>
  <c r="I57" i="22" s="1"/>
  <c r="B32" i="84"/>
  <c r="C93" i="83"/>
  <c r="G96" i="83"/>
  <c r="F35" i="84"/>
  <c r="F63" i="84" s="1"/>
  <c r="B36" i="84"/>
  <c r="B64" i="84" s="1"/>
  <c r="C97" i="83"/>
  <c r="E224" i="53"/>
  <c r="E156" i="53"/>
  <c r="B33" i="84"/>
  <c r="C94" i="83"/>
  <c r="D98" i="83"/>
  <c r="C37" i="84"/>
  <c r="C65" i="84" s="1"/>
  <c r="F57" i="53"/>
  <c r="F110" i="53" s="1"/>
  <c r="F126" i="83"/>
  <c r="D177" i="53"/>
  <c r="D242" i="53"/>
  <c r="B58" i="55"/>
  <c r="B115" i="55" s="1"/>
  <c r="C69" i="83"/>
  <c r="E76" i="83"/>
  <c r="D15" i="84"/>
  <c r="D46" i="84" s="1"/>
  <c r="E104" i="83"/>
  <c r="E35" i="53"/>
  <c r="E88" i="53" s="1"/>
  <c r="D20" i="84"/>
  <c r="D51" i="84" s="1"/>
  <c r="E81" i="83"/>
  <c r="H117" i="83"/>
  <c r="I48" i="53" s="1"/>
  <c r="I101" i="53" s="1"/>
  <c r="H48" i="53"/>
  <c r="H101" i="53" s="1"/>
  <c r="D28" i="84"/>
  <c r="D59" i="84" s="1"/>
  <c r="E89" i="83"/>
  <c r="F178" i="53"/>
  <c r="F243" i="53"/>
  <c r="G106" i="83"/>
  <c r="G37" i="53"/>
  <c r="G90" i="53" s="1"/>
  <c r="H226" i="53" s="1"/>
  <c r="D50" i="55"/>
  <c r="D107" i="55" s="1"/>
  <c r="E61" i="83"/>
  <c r="E163" i="53"/>
  <c r="E231" i="53"/>
  <c r="F234" i="53"/>
  <c r="F166" i="53"/>
  <c r="C59" i="55"/>
  <c r="C116" i="55" s="1"/>
  <c r="D70" i="83"/>
  <c r="F238" i="53"/>
  <c r="F170" i="53"/>
  <c r="F159" i="53"/>
  <c r="F227" i="53"/>
  <c r="G157" i="55"/>
  <c r="I270" i="55"/>
  <c r="D56" i="53"/>
  <c r="D109" i="53" s="1"/>
  <c r="D125" i="83"/>
  <c r="D53" i="53"/>
  <c r="D106" i="53" s="1"/>
  <c r="E174" i="53" s="1"/>
  <c r="D122" i="83"/>
  <c r="D51" i="53"/>
  <c r="D104" i="53" s="1"/>
  <c r="E172" i="53" s="1"/>
  <c r="D120" i="83"/>
  <c r="C159" i="55"/>
  <c r="E218" i="55" s="1"/>
  <c r="E272" i="55"/>
  <c r="E42" i="53"/>
  <c r="E95" i="53" s="1"/>
  <c r="E111" i="83"/>
  <c r="F45" i="53"/>
  <c r="F98" i="53" s="1"/>
  <c r="F114" i="83"/>
  <c r="D121" i="83"/>
  <c r="D52" i="53"/>
  <c r="D105" i="53" s="1"/>
  <c r="E173" i="53" s="1"/>
  <c r="D278" i="55"/>
  <c r="B168" i="55"/>
  <c r="D227" i="55" s="1"/>
  <c r="F49" i="53"/>
  <c r="F102" i="53" s="1"/>
  <c r="F118" i="83"/>
  <c r="F107" i="83"/>
  <c r="F38" i="53"/>
  <c r="F91" i="53" s="1"/>
  <c r="B31" i="84"/>
  <c r="C92" i="83"/>
  <c r="D104" i="81"/>
  <c r="K64" i="22"/>
  <c r="L61" i="22" s="1"/>
  <c r="L62" i="22" s="1"/>
  <c r="L63" i="22" s="1"/>
  <c r="D72" i="81"/>
  <c r="D18" i="72" s="1"/>
  <c r="D42" i="72" s="1"/>
  <c r="D111" i="81"/>
  <c r="E28" i="53" s="1"/>
  <c r="E81" i="53" s="1"/>
  <c r="F217" i="53" s="1"/>
  <c r="D23" i="55"/>
  <c r="D80" i="55" s="1"/>
  <c r="F245" i="55" s="1"/>
  <c r="E93" i="81"/>
  <c r="F93" i="81" s="1"/>
  <c r="E134" i="53"/>
  <c r="D27" i="53"/>
  <c r="D80" i="53" s="1"/>
  <c r="E216" i="53" s="1"/>
  <c r="E12" i="53"/>
  <c r="E65" i="53" s="1"/>
  <c r="F201" i="53" s="1"/>
  <c r="B29" i="55"/>
  <c r="B86" i="55" s="1"/>
  <c r="B138" i="55" s="1"/>
  <c r="D196" i="55" s="1"/>
  <c r="I45" i="42"/>
  <c r="I47" i="42" s="1"/>
  <c r="J52" i="61"/>
  <c r="E27" i="53"/>
  <c r="E80" i="53" s="1"/>
  <c r="E110" i="81"/>
  <c r="F27" i="53" s="1"/>
  <c r="F80" i="53" s="1"/>
  <c r="E141" i="53"/>
  <c r="E210" i="53"/>
  <c r="D103" i="81"/>
  <c r="E20" i="53" s="1"/>
  <c r="E73" i="53" s="1"/>
  <c r="F141" i="53" s="1"/>
  <c r="F113" i="81"/>
  <c r="G30" i="53" s="1"/>
  <c r="G83" i="53" s="1"/>
  <c r="E79" i="81"/>
  <c r="E25" i="72" s="1"/>
  <c r="E49" i="72" s="1"/>
  <c r="D238" i="55"/>
  <c r="F108" i="81"/>
  <c r="G108" i="81" s="1"/>
  <c r="D249" i="55"/>
  <c r="E149" i="53"/>
  <c r="C25" i="72"/>
  <c r="C49" i="72" s="1"/>
  <c r="D141" i="53"/>
  <c r="E25" i="53"/>
  <c r="E78" i="53" s="1"/>
  <c r="F146" i="53" s="1"/>
  <c r="C21" i="72"/>
  <c r="C45" i="72" s="1"/>
  <c r="D217" i="53"/>
  <c r="D82" i="81"/>
  <c r="D28" i="72" s="1"/>
  <c r="D52" i="72" s="1"/>
  <c r="D106" i="81"/>
  <c r="D23" i="53"/>
  <c r="D76" i="53" s="1"/>
  <c r="D144" i="53"/>
  <c r="D212" i="53"/>
  <c r="D83" i="81"/>
  <c r="D29" i="72" s="1"/>
  <c r="D53" i="72" s="1"/>
  <c r="B27" i="72"/>
  <c r="B51" i="72" s="1"/>
  <c r="C81" i="81"/>
  <c r="D43" i="81"/>
  <c r="D12" i="55" s="1"/>
  <c r="D69" i="55" s="1"/>
  <c r="C118" i="53"/>
  <c r="D187" i="53" s="1"/>
  <c r="B29" i="72"/>
  <c r="B53" i="72" s="1"/>
  <c r="B25" i="55"/>
  <c r="B82" i="55" s="1"/>
  <c r="B20" i="55"/>
  <c r="B77" i="55" s="1"/>
  <c r="D246" i="55"/>
  <c r="F11" i="53"/>
  <c r="F64" i="53" s="1"/>
  <c r="G200" i="53" s="1"/>
  <c r="D71" i="81"/>
  <c r="E71" i="81" s="1"/>
  <c r="D67" i="81"/>
  <c r="D13" i="72" s="1"/>
  <c r="D57" i="81"/>
  <c r="E57" i="81" s="1"/>
  <c r="D59" i="81"/>
  <c r="D28" i="55" s="1"/>
  <c r="D85" i="55" s="1"/>
  <c r="D148" i="53"/>
  <c r="G34" i="72"/>
  <c r="H33" i="72"/>
  <c r="H34" i="72" s="1"/>
  <c r="D80" i="81"/>
  <c r="D26" i="72" s="1"/>
  <c r="D50" i="72" s="1"/>
  <c r="F99" i="81"/>
  <c r="G99" i="81" s="1"/>
  <c r="B30" i="55"/>
  <c r="B87" i="55" s="1"/>
  <c r="C64" i="22"/>
  <c r="D61" i="22" s="1"/>
  <c r="D64" i="22" s="1"/>
  <c r="E61" i="22" s="1"/>
  <c r="E64" i="22" s="1"/>
  <c r="F61" i="22" s="1"/>
  <c r="F64" i="22" s="1"/>
  <c r="G61" i="22" s="1"/>
  <c r="G64" i="22" s="1"/>
  <c r="H61" i="22" s="1"/>
  <c r="H64" i="22" s="1"/>
  <c r="I61" i="22" s="1"/>
  <c r="I64" i="22" s="1"/>
  <c r="G205" i="53"/>
  <c r="J301" i="55"/>
  <c r="H28" i="21" s="1"/>
  <c r="H34" i="53"/>
  <c r="H87" i="53" s="1"/>
  <c r="H103" i="83"/>
  <c r="I34" i="53" s="1"/>
  <c r="I87" i="53" s="1"/>
  <c r="E80" i="83"/>
  <c r="D19" i="84"/>
  <c r="D50" i="84" s="1"/>
  <c r="F206" i="55"/>
  <c r="E206" i="55"/>
  <c r="F58" i="83"/>
  <c r="E47" i="55"/>
  <c r="E104" i="55" s="1"/>
  <c r="D156" i="55"/>
  <c r="F215" i="55" s="1"/>
  <c r="F269" i="55"/>
  <c r="F25" i="84"/>
  <c r="F56" i="84" s="1"/>
  <c r="G86" i="83"/>
  <c r="D24" i="84"/>
  <c r="D55" i="84" s="1"/>
  <c r="E85" i="83"/>
  <c r="E268" i="55"/>
  <c r="C155" i="55"/>
  <c r="E214" i="55" s="1"/>
  <c r="E57" i="83"/>
  <c r="D46" i="55"/>
  <c r="D103" i="55" s="1"/>
  <c r="E267" i="55"/>
  <c r="C154" i="55"/>
  <c r="E213" i="55" s="1"/>
  <c r="E56" i="83"/>
  <c r="D45" i="55"/>
  <c r="D102" i="55" s="1"/>
  <c r="D23" i="84"/>
  <c r="D54" i="84" s="1"/>
  <c r="E84" i="83"/>
  <c r="D22" i="84"/>
  <c r="D53" i="84" s="1"/>
  <c r="E83" i="83"/>
  <c r="C153" i="55"/>
  <c r="E212" i="55" s="1"/>
  <c r="E266" i="55"/>
  <c r="E55" i="83"/>
  <c r="D44" i="55"/>
  <c r="D101" i="55" s="1"/>
  <c r="D18" i="84"/>
  <c r="D49" i="84" s="1"/>
  <c r="E79" i="83"/>
  <c r="E17" i="84"/>
  <c r="E48" i="84" s="1"/>
  <c r="F78" i="83"/>
  <c r="E148" i="55"/>
  <c r="G207" i="55" s="1"/>
  <c r="G261" i="55"/>
  <c r="G50" i="83"/>
  <c r="F39" i="55"/>
  <c r="F96" i="55" s="1"/>
  <c r="F147" i="55"/>
  <c r="H206" i="55" s="1"/>
  <c r="H260" i="55"/>
  <c r="H77" i="83"/>
  <c r="H16" i="84" s="1"/>
  <c r="H47" i="84" s="1"/>
  <c r="G16" i="84"/>
  <c r="G47" i="84" s="1"/>
  <c r="G38" i="55"/>
  <c r="G95" i="55" s="1"/>
  <c r="H49" i="83"/>
  <c r="H38" i="55" s="1"/>
  <c r="H95" i="55" s="1"/>
  <c r="E146" i="55"/>
  <c r="G205" i="55" s="1"/>
  <c r="G259" i="55"/>
  <c r="F37" i="55"/>
  <c r="F94" i="55" s="1"/>
  <c r="G48" i="83"/>
  <c r="D14" i="84"/>
  <c r="D45" i="84" s="1"/>
  <c r="E75" i="83"/>
  <c r="E47" i="83"/>
  <c r="D36" i="55"/>
  <c r="D93" i="55" s="1"/>
  <c r="C145" i="55"/>
  <c r="E204" i="55" s="1"/>
  <c r="E258" i="55"/>
  <c r="F199" i="53"/>
  <c r="F131" i="53"/>
  <c r="F13" i="53"/>
  <c r="F66" i="53" s="1"/>
  <c r="F96" i="81"/>
  <c r="F15" i="53"/>
  <c r="F68" i="53" s="1"/>
  <c r="F98" i="81"/>
  <c r="F135" i="53"/>
  <c r="F203" i="53"/>
  <c r="F134" i="53"/>
  <c r="F202" i="53"/>
  <c r="F204" i="53"/>
  <c r="F136" i="53"/>
  <c r="F14" i="53"/>
  <c r="F67" i="53" s="1"/>
  <c r="F97" i="81"/>
  <c r="C119" i="53"/>
  <c r="D188" i="53" s="1"/>
  <c r="F140" i="53"/>
  <c r="F208" i="53"/>
  <c r="C115" i="53"/>
  <c r="D247" i="53" s="1"/>
  <c r="F102" i="81"/>
  <c r="F19" i="53"/>
  <c r="F72" i="53" s="1"/>
  <c r="C135" i="55"/>
  <c r="E248" i="55"/>
  <c r="G11" i="53"/>
  <c r="G64" i="53" s="1"/>
  <c r="G94" i="81"/>
  <c r="C116" i="53"/>
  <c r="D248" i="53" s="1"/>
  <c r="D63" i="22"/>
  <c r="E63" i="22" s="1"/>
  <c r="F63" i="22" s="1"/>
  <c r="G63" i="22" s="1"/>
  <c r="H63" i="22" s="1"/>
  <c r="I63" i="22" s="1"/>
  <c r="F86" i="22"/>
  <c r="E43" i="21" s="1"/>
  <c r="G86" i="22"/>
  <c r="F43" i="21" s="1"/>
  <c r="C86" i="22"/>
  <c r="B43" i="21" s="1"/>
  <c r="C21" i="68"/>
  <c r="F12" i="62"/>
  <c r="E19" i="62" s="1"/>
  <c r="E86" i="22"/>
  <c r="D43" i="21" s="1"/>
  <c r="D161" i="29"/>
  <c r="D131" i="29"/>
  <c r="D176" i="29"/>
  <c r="D24" i="68"/>
  <c r="D146" i="29"/>
  <c r="E140" i="29"/>
  <c r="E155" i="29"/>
  <c r="E125" i="29"/>
  <c r="E35" i="29"/>
  <c r="E170" i="29"/>
  <c r="F46" i="83"/>
  <c r="E35" i="55"/>
  <c r="G170" i="29"/>
  <c r="G155" i="29"/>
  <c r="G35" i="29"/>
  <c r="G140" i="29"/>
  <c r="G125" i="29"/>
  <c r="H171" i="53"/>
  <c r="H239" i="53"/>
  <c r="G151" i="53"/>
  <c r="G219" i="53"/>
  <c r="H157" i="53"/>
  <c r="H225" i="53"/>
  <c r="G165" i="53"/>
  <c r="G233" i="53"/>
  <c r="F124" i="83"/>
  <c r="F55" i="53"/>
  <c r="F108" i="53" s="1"/>
  <c r="D158" i="55"/>
  <c r="F217" i="55" s="1"/>
  <c r="F271" i="55"/>
  <c r="H160" i="55"/>
  <c r="J273" i="55"/>
  <c r="I124" i="53"/>
  <c r="H267" i="53"/>
  <c r="H206" i="53"/>
  <c r="H244" i="53"/>
  <c r="H269" i="53"/>
  <c r="H268" i="53"/>
  <c r="H220" i="53"/>
  <c r="H215" i="53"/>
  <c r="H266" i="53"/>
  <c r="H161" i="53"/>
  <c r="H152" i="53"/>
  <c r="H229" i="53"/>
  <c r="H237" i="53"/>
  <c r="H158" i="53"/>
  <c r="H228" i="53"/>
  <c r="H160" i="53"/>
  <c r="H169" i="53"/>
  <c r="H223" i="53"/>
  <c r="H155" i="53"/>
  <c r="J34" i="42"/>
  <c r="F88" i="83"/>
  <c r="E27" i="84"/>
  <c r="E58" i="84" s="1"/>
  <c r="E143" i="53"/>
  <c r="E211" i="53"/>
  <c r="D85" i="81"/>
  <c r="C31" i="72"/>
  <c r="C55" i="72" s="1"/>
  <c r="C71" i="72" s="1"/>
  <c r="E158" i="72" s="1"/>
  <c r="G28" i="21"/>
  <c r="G232" i="53"/>
  <c r="G164" i="53"/>
  <c r="H50" i="53"/>
  <c r="H103" i="53" s="1"/>
  <c r="H119" i="83"/>
  <c r="I50" i="53" s="1"/>
  <c r="I103" i="53" s="1"/>
  <c r="C140" i="29"/>
  <c r="C35" i="29"/>
  <c r="C155" i="29"/>
  <c r="C170" i="29"/>
  <c r="C125" i="29"/>
  <c r="D32" i="21"/>
  <c r="E63" i="83"/>
  <c r="D52" i="55"/>
  <c r="D109" i="55" s="1"/>
  <c r="D110" i="83"/>
  <c r="D41" i="53"/>
  <c r="D94" i="53" s="1"/>
  <c r="F222" i="53"/>
  <c r="F154" i="53"/>
  <c r="H180" i="72"/>
  <c r="H185" i="72" s="1"/>
  <c r="I135" i="72"/>
  <c r="I181" i="72" s="1"/>
  <c r="C144" i="55"/>
  <c r="E203" i="55" s="1"/>
  <c r="E257" i="55"/>
  <c r="G113" i="83"/>
  <c r="G44" i="53"/>
  <c r="G97" i="53" s="1"/>
  <c r="E32" i="21"/>
  <c r="K39" i="61"/>
  <c r="H10" i="21"/>
  <c r="H30" i="21"/>
  <c r="H150" i="55"/>
  <c r="J263" i="55"/>
  <c r="E22" i="53"/>
  <c r="E75" i="53" s="1"/>
  <c r="E105" i="81"/>
  <c r="G112" i="83"/>
  <c r="G43" i="53"/>
  <c r="G96" i="53" s="1"/>
  <c r="E274" i="55"/>
  <c r="C161" i="55"/>
  <c r="E220" i="55" s="1"/>
  <c r="D67" i="83"/>
  <c r="C56" i="55"/>
  <c r="C113" i="55" s="1"/>
  <c r="B43" i="55"/>
  <c r="C54" i="83"/>
  <c r="G51" i="83"/>
  <c r="F40" i="55"/>
  <c r="F97" i="55" s="1"/>
  <c r="G168" i="53"/>
  <c r="G236" i="53"/>
  <c r="D36" i="21"/>
  <c r="F176" i="53"/>
  <c r="F241" i="53"/>
  <c r="F53" i="83"/>
  <c r="E42" i="55"/>
  <c r="E99" i="55" s="1"/>
  <c r="H11" i="21"/>
  <c r="K36" i="61"/>
  <c r="K59" i="48"/>
  <c r="E49" i="55"/>
  <c r="E106" i="55" s="1"/>
  <c r="F60" i="83"/>
  <c r="I273" i="55"/>
  <c r="G160" i="55"/>
  <c r="I219" i="55" s="1"/>
  <c r="E29" i="84"/>
  <c r="E60" i="84" s="1"/>
  <c r="F90" i="83"/>
  <c r="E91" i="83"/>
  <c r="D30" i="84"/>
  <c r="D61" i="84" s="1"/>
  <c r="D112" i="81"/>
  <c r="D29" i="53"/>
  <c r="D82" i="53" s="1"/>
  <c r="C34" i="84"/>
  <c r="C62" i="84" s="1"/>
  <c r="D95" i="83"/>
  <c r="F235" i="53"/>
  <c r="F167" i="53"/>
  <c r="E57" i="48"/>
  <c r="E59" i="48" s="1"/>
  <c r="E49" i="61"/>
  <c r="B21" i="21"/>
  <c r="D162" i="53"/>
  <c r="D230" i="53"/>
  <c r="F102" i="83"/>
  <c r="F33" i="53"/>
  <c r="F86" i="53" s="1"/>
  <c r="E29" i="21"/>
  <c r="E36" i="21" s="1"/>
  <c r="E175" i="53"/>
  <c r="E240" i="53"/>
  <c r="E123" i="83"/>
  <c r="E54" i="53"/>
  <c r="E107" i="53" s="1"/>
  <c r="B31" i="55"/>
  <c r="B88" i="55" s="1"/>
  <c r="D151" i="55"/>
  <c r="F210" i="55" s="1"/>
  <c r="F264" i="55"/>
  <c r="D92" i="55"/>
  <c r="I263" i="55"/>
  <c r="G150" i="55"/>
  <c r="I209" i="55" s="1"/>
  <c r="D125" i="29"/>
  <c r="D170" i="29"/>
  <c r="D155" i="29"/>
  <c r="D140" i="29"/>
  <c r="D35" i="29"/>
  <c r="F35" i="29"/>
  <c r="F140" i="29"/>
  <c r="F170" i="29"/>
  <c r="F125" i="29"/>
  <c r="F155" i="29"/>
  <c r="D150" i="53"/>
  <c r="D218" i="53"/>
  <c r="C114" i="53"/>
  <c r="B124" i="84"/>
  <c r="B141" i="84" s="1"/>
  <c r="D163" i="84"/>
  <c r="D164" i="84"/>
  <c r="B126" i="84"/>
  <c r="B143" i="84" s="1"/>
  <c r="D156" i="84" s="1"/>
  <c r="D167" i="84"/>
  <c r="B125" i="84"/>
  <c r="B142" i="84" s="1"/>
  <c r="D155" i="84" s="1"/>
  <c r="F46" i="53"/>
  <c r="F99" i="53" s="1"/>
  <c r="F115" i="83"/>
  <c r="G44" i="22"/>
  <c r="G66" i="22" s="1"/>
  <c r="F44" i="22"/>
  <c r="F66" i="22" s="1"/>
  <c r="C65" i="22"/>
  <c r="D44" i="22"/>
  <c r="D66" i="22" s="1"/>
  <c r="E44" i="22"/>
  <c r="E66" i="22" s="1"/>
  <c r="I44" i="22"/>
  <c r="I66" i="22" s="1"/>
  <c r="C44" i="22"/>
  <c r="C46" i="22" s="1"/>
  <c r="K43" i="22"/>
  <c r="H44" i="22"/>
  <c r="H66" i="22" s="1"/>
  <c r="H170" i="29"/>
  <c r="H140" i="29"/>
  <c r="H35" i="29"/>
  <c r="H125" i="29"/>
  <c r="H155" i="29"/>
  <c r="F87" i="83"/>
  <c r="E26" i="84"/>
  <c r="E57" i="84" s="1"/>
  <c r="D275" i="55"/>
  <c r="B165" i="55"/>
  <c r="D224" i="55" s="1"/>
  <c r="D60" i="81"/>
  <c r="C29" i="55"/>
  <c r="C86" i="55" s="1"/>
  <c r="H105" i="83"/>
  <c r="I36" i="53" s="1"/>
  <c r="I89" i="53" s="1"/>
  <c r="H36" i="53"/>
  <c r="H89" i="53" s="1"/>
  <c r="C43" i="21"/>
  <c r="D87" i="22"/>
  <c r="B21" i="84"/>
  <c r="C82" i="83"/>
  <c r="G262" i="55"/>
  <c r="E149" i="55"/>
  <c r="G208" i="55" s="1"/>
  <c r="G116" i="83"/>
  <c r="G47" i="53"/>
  <c r="G100" i="53" s="1"/>
  <c r="E47" i="81"/>
  <c r="D16" i="55"/>
  <c r="D73" i="55" s="1"/>
  <c r="C125" i="55"/>
  <c r="E183" i="55" s="1"/>
  <c r="E238" i="55"/>
  <c r="F54" i="81"/>
  <c r="E23" i="55"/>
  <c r="E80" i="55" s="1"/>
  <c r="D53" i="81"/>
  <c r="C22" i="55"/>
  <c r="C79" i="55" s="1"/>
  <c r="D78" i="81"/>
  <c r="C24" i="72"/>
  <c r="C48" i="72" s="1"/>
  <c r="C64" i="72" s="1"/>
  <c r="F18" i="53"/>
  <c r="F71" i="53" s="1"/>
  <c r="F101" i="81"/>
  <c r="B131" i="55"/>
  <c r="D189" i="55" s="1"/>
  <c r="D244" i="55"/>
  <c r="G214" i="53"/>
  <c r="F139" i="53"/>
  <c r="F207" i="53"/>
  <c r="F213" i="53"/>
  <c r="F145" i="53"/>
  <c r="F24" i="53"/>
  <c r="F77" i="53" s="1"/>
  <c r="F107" i="81"/>
  <c r="E92" i="81"/>
  <c r="E9" i="53"/>
  <c r="E62" i="53" s="1"/>
  <c r="E130" i="53"/>
  <c r="E198" i="53"/>
  <c r="E243" i="55"/>
  <c r="C130" i="55"/>
  <c r="E188" i="55" s="1"/>
  <c r="D18" i="55"/>
  <c r="D75" i="55" s="1"/>
  <c r="E49" i="81"/>
  <c r="D24" i="55"/>
  <c r="D81" i="55" s="1"/>
  <c r="E55" i="81"/>
  <c r="C126" i="55"/>
  <c r="E184" i="55" s="1"/>
  <c r="E239" i="55"/>
  <c r="D19" i="72"/>
  <c r="D43" i="72" s="1"/>
  <c r="D70" i="72" s="1"/>
  <c r="E73" i="81"/>
  <c r="C37" i="72"/>
  <c r="E58" i="81"/>
  <c r="D27" i="55"/>
  <c r="D84" i="55" s="1"/>
  <c r="E246" i="55"/>
  <c r="C133" i="55"/>
  <c r="E191" i="55" s="1"/>
  <c r="E236" i="55"/>
  <c r="C123" i="55"/>
  <c r="E181" i="55" s="1"/>
  <c r="D15" i="55"/>
  <c r="D72" i="55" s="1"/>
  <c r="E46" i="81"/>
  <c r="C122" i="55"/>
  <c r="E180" i="55" s="1"/>
  <c r="E235" i="55"/>
  <c r="E70" i="81"/>
  <c r="D16" i="72"/>
  <c r="D40" i="72" s="1"/>
  <c r="E241" i="55"/>
  <c r="C128" i="55"/>
  <c r="E186" i="55" s="1"/>
  <c r="C136" i="55"/>
  <c r="E194" i="55" s="1"/>
  <c r="E249" i="55"/>
  <c r="E42" i="81"/>
  <c r="D11" i="55"/>
  <c r="D21" i="55"/>
  <c r="D78" i="55" s="1"/>
  <c r="E52" i="81"/>
  <c r="E240" i="55"/>
  <c r="C127" i="55"/>
  <c r="E185" i="55" s="1"/>
  <c r="C137" i="55"/>
  <c r="E195" i="55" s="1"/>
  <c r="E250" i="55"/>
  <c r="D23" i="72"/>
  <c r="D47" i="72" s="1"/>
  <c r="D77" i="72" s="1"/>
  <c r="E77" i="81"/>
  <c r="D15" i="72"/>
  <c r="D39" i="72" s="1"/>
  <c r="E69" i="81"/>
  <c r="E45" i="81"/>
  <c r="D14" i="55"/>
  <c r="D71" i="55" s="1"/>
  <c r="E237" i="55"/>
  <c r="C124" i="55"/>
  <c r="E182" i="55" s="1"/>
  <c r="E75" i="81"/>
  <c r="D21" i="72"/>
  <c r="D45" i="72" s="1"/>
  <c r="D13" i="55"/>
  <c r="D70" i="55" s="1"/>
  <c r="E44" i="81"/>
  <c r="E50" i="81"/>
  <c r="D19" i="55"/>
  <c r="D76" i="55" s="1"/>
  <c r="D14" i="72"/>
  <c r="D38" i="72" s="1"/>
  <c r="D20" i="72"/>
  <c r="D44" i="72" s="1"/>
  <c r="E74" i="81"/>
  <c r="F95" i="81"/>
  <c r="F12" i="53"/>
  <c r="F65" i="53" s="1"/>
  <c r="C68" i="55"/>
  <c r="D22" i="72"/>
  <c r="D46" i="72" s="1"/>
  <c r="E76" i="81"/>
  <c r="E48" i="81"/>
  <c r="D17" i="55"/>
  <c r="D74" i="55" s="1"/>
  <c r="E84" i="81"/>
  <c r="D30" i="72"/>
  <c r="F133" i="53"/>
  <c r="E234" i="55"/>
  <c r="C121" i="55"/>
  <c r="E179" i="55" s="1"/>
  <c r="Q16" i="61"/>
  <c r="R11" i="61"/>
  <c r="R16" i="61" s="1"/>
  <c r="M52" i="22"/>
  <c r="N49" i="22" s="1"/>
  <c r="D39" i="22"/>
  <c r="L37" i="22"/>
  <c r="K39" i="22"/>
  <c r="D40" i="22"/>
  <c r="L58" i="22" l="1"/>
  <c r="M55" i="22" s="1"/>
  <c r="B120" i="55"/>
  <c r="C58" i="72"/>
  <c r="O50" i="85"/>
  <c r="O48" i="85" s="1"/>
  <c r="F160" i="72"/>
  <c r="P46" i="85"/>
  <c r="N47" i="85"/>
  <c r="N49" i="85"/>
  <c r="B78" i="72"/>
  <c r="P4" i="85"/>
  <c r="F157" i="72"/>
  <c r="O6" i="85"/>
  <c r="O10" i="85" s="1"/>
  <c r="N10" i="85"/>
  <c r="E155" i="72"/>
  <c r="O31" i="85"/>
  <c r="O35" i="85" s="1"/>
  <c r="D54" i="72"/>
  <c r="B33" i="55"/>
  <c r="E193" i="55"/>
  <c r="B32" i="72"/>
  <c r="F149" i="53"/>
  <c r="E111" i="81"/>
  <c r="F111" i="81" s="1"/>
  <c r="G28" i="53" s="1"/>
  <c r="G81" i="53" s="1"/>
  <c r="E145" i="53"/>
  <c r="E213" i="53"/>
  <c r="E72" i="81"/>
  <c r="E18" i="72" s="1"/>
  <c r="E42" i="72" s="1"/>
  <c r="C87" i="22"/>
  <c r="E154" i="72"/>
  <c r="D92" i="83"/>
  <c r="C31" i="84"/>
  <c r="G49" i="53"/>
  <c r="G102" i="53" s="1"/>
  <c r="G118" i="83"/>
  <c r="F111" i="83"/>
  <c r="F42" i="53"/>
  <c r="F95" i="53" s="1"/>
  <c r="E120" i="83"/>
  <c r="E51" i="53"/>
  <c r="E104" i="53" s="1"/>
  <c r="F172" i="53" s="1"/>
  <c r="E56" i="53"/>
  <c r="E109" i="53" s="1"/>
  <c r="E125" i="83"/>
  <c r="E70" i="83"/>
  <c r="D59" i="55"/>
  <c r="D116" i="55" s="1"/>
  <c r="E20" i="84"/>
  <c r="E51" i="84" s="1"/>
  <c r="F81" i="83"/>
  <c r="G238" i="53"/>
  <c r="G170" i="53"/>
  <c r="E52" i="53"/>
  <c r="E105" i="53" s="1"/>
  <c r="F173" i="53" s="1"/>
  <c r="E121" i="83"/>
  <c r="F163" i="53"/>
  <c r="F231" i="53"/>
  <c r="E177" i="53"/>
  <c r="E242" i="53"/>
  <c r="C168" i="55"/>
  <c r="E227" i="55" s="1"/>
  <c r="E278" i="55"/>
  <c r="H106" i="83"/>
  <c r="I37" i="53" s="1"/>
  <c r="I90" i="53" s="1"/>
  <c r="H37" i="53"/>
  <c r="H90" i="53" s="1"/>
  <c r="F76" i="83"/>
  <c r="E15" i="84"/>
  <c r="E46" i="84" s="1"/>
  <c r="D37" i="84"/>
  <c r="D65" i="84" s="1"/>
  <c r="E98" i="83"/>
  <c r="G35" i="84"/>
  <c r="G63" i="84" s="1"/>
  <c r="H96" i="83"/>
  <c r="H35" i="84" s="1"/>
  <c r="H63" i="84" s="1"/>
  <c r="G227" i="53"/>
  <c r="G159" i="53"/>
  <c r="G114" i="83"/>
  <c r="G45" i="53"/>
  <c r="G98" i="53" s="1"/>
  <c r="E53" i="53"/>
  <c r="E106" i="53" s="1"/>
  <c r="F174" i="53" s="1"/>
  <c r="E122" i="83"/>
  <c r="F61" i="83"/>
  <c r="E50" i="55"/>
  <c r="E107" i="55" s="1"/>
  <c r="F224" i="53"/>
  <c r="F156" i="53"/>
  <c r="D69" i="83"/>
  <c r="C58" i="55"/>
  <c r="C115" i="55" s="1"/>
  <c r="G126" i="83"/>
  <c r="G57" i="53"/>
  <c r="G110" i="53" s="1"/>
  <c r="C33" i="84"/>
  <c r="D94" i="83"/>
  <c r="D97" i="83"/>
  <c r="C36" i="84"/>
  <c r="C64" i="84" s="1"/>
  <c r="D93" i="83"/>
  <c r="C32" i="84"/>
  <c r="F89" i="83"/>
  <c r="E28" i="84"/>
  <c r="E59" i="84" s="1"/>
  <c r="G107" i="83"/>
  <c r="G38" i="53"/>
  <c r="G91" i="53" s="1"/>
  <c r="G234" i="53"/>
  <c r="G166" i="53"/>
  <c r="I216" i="55"/>
  <c r="J216" i="55"/>
  <c r="F272" i="55"/>
  <c r="D159" i="55"/>
  <c r="F218" i="55" s="1"/>
  <c r="F104" i="83"/>
  <c r="F35" i="53"/>
  <c r="F88" i="53" s="1"/>
  <c r="B167" i="55"/>
  <c r="D226" i="55" s="1"/>
  <c r="D277" i="55"/>
  <c r="G178" i="53"/>
  <c r="G243" i="53"/>
  <c r="E148" i="53"/>
  <c r="E104" i="81"/>
  <c r="E21" i="53"/>
  <c r="E74" i="53" s="1"/>
  <c r="D132" i="55"/>
  <c r="F190" i="55" s="1"/>
  <c r="E103" i="81"/>
  <c r="F20" i="53" s="1"/>
  <c r="F73" i="53" s="1"/>
  <c r="G141" i="53" s="1"/>
  <c r="F79" i="81"/>
  <c r="G79" i="81" s="1"/>
  <c r="F10" i="53"/>
  <c r="F63" i="53" s="1"/>
  <c r="F148" i="53"/>
  <c r="F209" i="53"/>
  <c r="D251" i="55"/>
  <c r="F216" i="53"/>
  <c r="F110" i="81"/>
  <c r="G110" i="81" s="1"/>
  <c r="G113" i="81"/>
  <c r="H113" i="81" s="1"/>
  <c r="I30" i="53" s="1"/>
  <c r="I83" i="53" s="1"/>
  <c r="G25" i="53"/>
  <c r="G78" i="53" s="1"/>
  <c r="H146" i="53" s="1"/>
  <c r="F214" i="53"/>
  <c r="G146" i="53"/>
  <c r="E82" i="81"/>
  <c r="E28" i="72" s="1"/>
  <c r="E52" i="72" s="1"/>
  <c r="E59" i="81"/>
  <c r="F59" i="81" s="1"/>
  <c r="G16" i="53"/>
  <c r="G69" i="53" s="1"/>
  <c r="H137" i="53" s="1"/>
  <c r="E67" i="81"/>
  <c r="F67" i="81" s="1"/>
  <c r="E83" i="81"/>
  <c r="E29" i="72" s="1"/>
  <c r="E53" i="72" s="1"/>
  <c r="E43" i="81"/>
  <c r="F43" i="81" s="1"/>
  <c r="D251" i="53"/>
  <c r="D247" i="55"/>
  <c r="B134" i="55"/>
  <c r="D192" i="55" s="1"/>
  <c r="C25" i="55"/>
  <c r="C82" i="55" s="1"/>
  <c r="D56" i="81"/>
  <c r="C27" i="72"/>
  <c r="C51" i="72" s="1"/>
  <c r="D81" i="81"/>
  <c r="E212" i="53"/>
  <c r="E144" i="53"/>
  <c r="E23" i="53"/>
  <c r="E76" i="53" s="1"/>
  <c r="E106" i="81"/>
  <c r="H132" i="53"/>
  <c r="G132" i="53"/>
  <c r="E80" i="81"/>
  <c r="F80" i="81" s="1"/>
  <c r="D242" i="55"/>
  <c r="B129" i="55"/>
  <c r="D187" i="55" s="1"/>
  <c r="D51" i="81"/>
  <c r="C20" i="55"/>
  <c r="C77" i="55" s="1"/>
  <c r="D17" i="72"/>
  <c r="D41" i="72" s="1"/>
  <c r="D26" i="55"/>
  <c r="D83" i="55" s="1"/>
  <c r="F248" i="55" s="1"/>
  <c r="B139" i="55"/>
  <c r="D197" i="55" s="1"/>
  <c r="D252" i="55"/>
  <c r="D252" i="53"/>
  <c r="C30" i="55"/>
  <c r="C87" i="55" s="1"/>
  <c r="D61" i="81"/>
  <c r="G87" i="22"/>
  <c r="H200" i="53"/>
  <c r="E19" i="84"/>
  <c r="E50" i="84" s="1"/>
  <c r="F80" i="83"/>
  <c r="H86" i="83"/>
  <c r="H25" i="84" s="1"/>
  <c r="H56" i="84" s="1"/>
  <c r="G25" i="84"/>
  <c r="G56" i="84" s="1"/>
  <c r="E156" i="55"/>
  <c r="G215" i="55" s="1"/>
  <c r="G269" i="55"/>
  <c r="G58" i="83"/>
  <c r="F47" i="55"/>
  <c r="F104" i="55" s="1"/>
  <c r="F268" i="55"/>
  <c r="D155" i="55"/>
  <c r="F214" i="55" s="1"/>
  <c r="E24" i="84"/>
  <c r="E55" i="84" s="1"/>
  <c r="F85" i="83"/>
  <c r="E46" i="55"/>
  <c r="E103" i="55" s="1"/>
  <c r="F57" i="83"/>
  <c r="F267" i="55"/>
  <c r="D154" i="55"/>
  <c r="F213" i="55" s="1"/>
  <c r="E45" i="55"/>
  <c r="E102" i="55" s="1"/>
  <c r="F56" i="83"/>
  <c r="F84" i="83"/>
  <c r="E23" i="84"/>
  <c r="E54" i="84" s="1"/>
  <c r="F266" i="55"/>
  <c r="D153" i="55"/>
  <c r="F212" i="55" s="1"/>
  <c r="E22" i="84"/>
  <c r="E53" i="84" s="1"/>
  <c r="F83" i="83"/>
  <c r="F55" i="83"/>
  <c r="E44" i="55"/>
  <c r="E101" i="55" s="1"/>
  <c r="F79" i="83"/>
  <c r="E18" i="84"/>
  <c r="E49" i="84" s="1"/>
  <c r="F148" i="55"/>
  <c r="H207" i="55" s="1"/>
  <c r="H261" i="55"/>
  <c r="G78" i="83"/>
  <c r="F17" i="84"/>
  <c r="F48" i="84" s="1"/>
  <c r="H50" i="83"/>
  <c r="H39" i="55" s="1"/>
  <c r="H96" i="55" s="1"/>
  <c r="G39" i="55"/>
  <c r="G96" i="55" s="1"/>
  <c r="H147" i="55"/>
  <c r="J260" i="55"/>
  <c r="G147" i="55"/>
  <c r="I206" i="55" s="1"/>
  <c r="I260" i="55"/>
  <c r="G37" i="55"/>
  <c r="G94" i="55" s="1"/>
  <c r="H48" i="83"/>
  <c r="H37" i="55" s="1"/>
  <c r="H94" i="55" s="1"/>
  <c r="F146" i="55"/>
  <c r="H205" i="55" s="1"/>
  <c r="H259" i="55"/>
  <c r="D145" i="55"/>
  <c r="F204" i="55" s="1"/>
  <c r="F258" i="55"/>
  <c r="F47" i="83"/>
  <c r="E36" i="55"/>
  <c r="E93" i="55" s="1"/>
  <c r="F75" i="83"/>
  <c r="E14" i="84"/>
  <c r="E45" i="84" s="1"/>
  <c r="D183" i="53"/>
  <c r="G14" i="53"/>
  <c r="G67" i="53" s="1"/>
  <c r="G97" i="81"/>
  <c r="G13" i="53"/>
  <c r="G66" i="53" s="1"/>
  <c r="G96" i="81"/>
  <c r="D255" i="53"/>
  <c r="G135" i="53"/>
  <c r="G203" i="53"/>
  <c r="G202" i="53"/>
  <c r="G134" i="53"/>
  <c r="G140" i="53"/>
  <c r="G208" i="53"/>
  <c r="G131" i="53"/>
  <c r="G199" i="53"/>
  <c r="G15" i="53"/>
  <c r="G68" i="53" s="1"/>
  <c r="G98" i="81"/>
  <c r="G102" i="81"/>
  <c r="G19" i="53"/>
  <c r="G72" i="53" s="1"/>
  <c r="G93" i="81"/>
  <c r="G10" i="53"/>
  <c r="G63" i="53" s="1"/>
  <c r="G204" i="53"/>
  <c r="G136" i="53"/>
  <c r="D184" i="53"/>
  <c r="E26" i="55"/>
  <c r="E83" i="55" s="1"/>
  <c r="F57" i="81"/>
  <c r="H16" i="53"/>
  <c r="H69" i="53" s="1"/>
  <c r="I205" i="53" s="1"/>
  <c r="H99" i="81"/>
  <c r="I16" i="53" s="1"/>
  <c r="I69" i="53" s="1"/>
  <c r="H11" i="53"/>
  <c r="H64" i="53" s="1"/>
  <c r="I200" i="53" s="1"/>
  <c r="H94" i="81"/>
  <c r="I11" i="53" s="1"/>
  <c r="I64" i="53" s="1"/>
  <c r="F87" i="22"/>
  <c r="B18" i="69"/>
  <c r="C18" i="69" s="1"/>
  <c r="D18" i="69" s="1"/>
  <c r="E18" i="69" s="1"/>
  <c r="F18" i="69" s="1"/>
  <c r="G18" i="69" s="1"/>
  <c r="H18" i="69" s="1"/>
  <c r="E87" i="22"/>
  <c r="F211" i="53"/>
  <c r="F143" i="53"/>
  <c r="D161" i="55"/>
  <c r="F220" i="55" s="1"/>
  <c r="F274" i="55"/>
  <c r="H274" i="53"/>
  <c r="I268" i="53"/>
  <c r="I215" i="53"/>
  <c r="J124" i="53"/>
  <c r="I266" i="53"/>
  <c r="I267" i="53"/>
  <c r="I152" i="53"/>
  <c r="I206" i="53"/>
  <c r="I269" i="53"/>
  <c r="I244" i="53"/>
  <c r="I220" i="53"/>
  <c r="I228" i="53"/>
  <c r="I226" i="53"/>
  <c r="I160" i="53"/>
  <c r="I169" i="53"/>
  <c r="I158" i="53"/>
  <c r="I237" i="53"/>
  <c r="I229" i="53"/>
  <c r="I161" i="53"/>
  <c r="I223" i="53"/>
  <c r="I155" i="53"/>
  <c r="E92" i="55"/>
  <c r="D29" i="55"/>
  <c r="D86" i="55" s="1"/>
  <c r="E60" i="81"/>
  <c r="D43" i="22"/>
  <c r="C68" i="22"/>
  <c r="G115" i="83"/>
  <c r="G46" i="53"/>
  <c r="G99" i="53" s="1"/>
  <c r="G264" i="55"/>
  <c r="E151" i="55"/>
  <c r="G210" i="55" s="1"/>
  <c r="H43" i="53"/>
  <c r="H96" i="53" s="1"/>
  <c r="H112" i="83"/>
  <c r="I43" i="53" s="1"/>
  <c r="I96" i="53" s="1"/>
  <c r="D254" i="53"/>
  <c r="C21" i="84"/>
  <c r="D82" i="83"/>
  <c r="F97" i="29"/>
  <c r="F12" i="29"/>
  <c r="E61" i="29"/>
  <c r="K44" i="22"/>
  <c r="K65" i="22"/>
  <c r="B13" i="69" s="1"/>
  <c r="G167" i="53"/>
  <c r="G235" i="53"/>
  <c r="F175" i="53"/>
  <c r="F240" i="53"/>
  <c r="G222" i="53"/>
  <c r="G154" i="53"/>
  <c r="D34" i="84"/>
  <c r="D62" i="84" s="1"/>
  <c r="E95" i="83"/>
  <c r="F42" i="55"/>
  <c r="F99" i="55" s="1"/>
  <c r="G53" i="83"/>
  <c r="F149" i="55"/>
  <c r="H208" i="55" s="1"/>
  <c r="H262" i="55"/>
  <c r="I139" i="29"/>
  <c r="I169" i="29"/>
  <c r="I124" i="29"/>
  <c r="I154" i="29"/>
  <c r="I34" i="29"/>
  <c r="H233" i="53"/>
  <c r="H165" i="53"/>
  <c r="G12" i="29"/>
  <c r="F61" i="29"/>
  <c r="G97" i="29"/>
  <c r="E52" i="55"/>
  <c r="E109" i="55" s="1"/>
  <c r="F63" i="83"/>
  <c r="C9" i="68"/>
  <c r="B34" i="69"/>
  <c r="C34" i="69" s="1"/>
  <c r="D34" i="69" s="1"/>
  <c r="E34" i="69" s="1"/>
  <c r="F34" i="69" s="1"/>
  <c r="G34" i="69" s="1"/>
  <c r="H34" i="69" s="1"/>
  <c r="D31" i="72"/>
  <c r="D55" i="72" s="1"/>
  <c r="D71" i="72" s="1"/>
  <c r="F158" i="72" s="1"/>
  <c r="E85" i="81"/>
  <c r="G88" i="83"/>
  <c r="F27" i="84"/>
  <c r="F58" i="84" s="1"/>
  <c r="G241" i="53"/>
  <c r="G176" i="53"/>
  <c r="G46" i="83"/>
  <c r="F35" i="55"/>
  <c r="J157" i="53"/>
  <c r="J225" i="53"/>
  <c r="B100" i="55"/>
  <c r="B61" i="55"/>
  <c r="B52" i="84"/>
  <c r="B39" i="84"/>
  <c r="G87" i="83"/>
  <c r="F26" i="84"/>
  <c r="F57" i="84" s="1"/>
  <c r="C45" i="22"/>
  <c r="C66" i="22"/>
  <c r="D144" i="55"/>
  <c r="F203" i="55" s="1"/>
  <c r="F257" i="55"/>
  <c r="D62" i="81"/>
  <c r="C31" i="55"/>
  <c r="C88" i="55" s="1"/>
  <c r="F54" i="53"/>
  <c r="F107" i="53" s="1"/>
  <c r="F123" i="83"/>
  <c r="G102" i="83"/>
  <c r="G33" i="53"/>
  <c r="G86" i="53" s="1"/>
  <c r="E163" i="84"/>
  <c r="E167" i="84"/>
  <c r="C124" i="84"/>
  <c r="C141" i="84" s="1"/>
  <c r="C125" i="84"/>
  <c r="C142" i="84" s="1"/>
  <c r="E155" i="84" s="1"/>
  <c r="C126" i="84"/>
  <c r="C143" i="84" s="1"/>
  <c r="E156" i="84" s="1"/>
  <c r="E164" i="84"/>
  <c r="F91" i="83"/>
  <c r="E30" i="84"/>
  <c r="E61" i="84" s="1"/>
  <c r="G60" i="83"/>
  <c r="F49" i="55"/>
  <c r="F106" i="55" s="1"/>
  <c r="I155" i="29"/>
  <c r="I35" i="29"/>
  <c r="I170" i="29"/>
  <c r="I125" i="29"/>
  <c r="I140" i="29"/>
  <c r="E161" i="29"/>
  <c r="E176" i="29"/>
  <c r="E131" i="29"/>
  <c r="E146" i="29"/>
  <c r="E24" i="68"/>
  <c r="G40" i="55"/>
  <c r="G97" i="55" s="1"/>
  <c r="H51" i="83"/>
  <c r="H40" i="55" s="1"/>
  <c r="H97" i="55" s="1"/>
  <c r="J209" i="55"/>
  <c r="H44" i="53"/>
  <c r="H97" i="53" s="1"/>
  <c r="H113" i="83"/>
  <c r="I44" i="53" s="1"/>
  <c r="I97" i="53" s="1"/>
  <c r="J135" i="72"/>
  <c r="I180" i="72"/>
  <c r="I185" i="72" s="1"/>
  <c r="H97" i="29"/>
  <c r="H12" i="29"/>
  <c r="G61" i="29"/>
  <c r="E230" i="53"/>
  <c r="E162" i="53"/>
  <c r="J239" i="53"/>
  <c r="J171" i="53"/>
  <c r="K52" i="61"/>
  <c r="J45" i="42"/>
  <c r="J47" i="42" s="1"/>
  <c r="H20" i="21"/>
  <c r="J219" i="55"/>
  <c r="G55" i="53"/>
  <c r="G108" i="53" s="1"/>
  <c r="G124" i="83"/>
  <c r="H47" i="53"/>
  <c r="H100" i="53" s="1"/>
  <c r="H116" i="83"/>
  <c r="I47" i="53" s="1"/>
  <c r="I100" i="53" s="1"/>
  <c r="D61" i="29"/>
  <c r="E97" i="29"/>
  <c r="E12" i="29"/>
  <c r="D246" i="53"/>
  <c r="D182" i="53"/>
  <c r="F161" i="29"/>
  <c r="F131" i="29"/>
  <c r="F176" i="29"/>
  <c r="F146" i="29"/>
  <c r="F24" i="68"/>
  <c r="E29" i="53"/>
  <c r="E82" i="53" s="1"/>
  <c r="E112" i="81"/>
  <c r="E67" i="83"/>
  <c r="D56" i="55"/>
  <c r="D113" i="55" s="1"/>
  <c r="H168" i="53"/>
  <c r="H236" i="53"/>
  <c r="I157" i="53"/>
  <c r="I225" i="53"/>
  <c r="E251" i="55"/>
  <c r="C138" i="55"/>
  <c r="E196" i="55" s="1"/>
  <c r="H219" i="53"/>
  <c r="H151" i="53"/>
  <c r="D168" i="84"/>
  <c r="D169" i="84"/>
  <c r="D154" i="84"/>
  <c r="D159" i="84" s="1"/>
  <c r="D253" i="55"/>
  <c r="B140" i="55"/>
  <c r="D198" i="55" s="1"/>
  <c r="D97" i="29"/>
  <c r="C61" i="29"/>
  <c r="D12" i="29"/>
  <c r="E150" i="53"/>
  <c r="E218" i="53"/>
  <c r="D115" i="53"/>
  <c r="D119" i="53"/>
  <c r="D118" i="53"/>
  <c r="D116" i="53"/>
  <c r="D114" i="53"/>
  <c r="G90" i="83"/>
  <c r="H90" i="83" s="1"/>
  <c r="F29" i="84"/>
  <c r="F60" i="84" s="1"/>
  <c r="G271" i="55"/>
  <c r="E158" i="55"/>
  <c r="G217" i="55" s="1"/>
  <c r="C43" i="55"/>
  <c r="D54" i="83"/>
  <c r="E275" i="55"/>
  <c r="C165" i="55"/>
  <c r="E224" i="55" s="1"/>
  <c r="H164" i="53"/>
  <c r="H232" i="53"/>
  <c r="F22" i="53"/>
  <c r="F75" i="53" s="1"/>
  <c r="F105" i="81"/>
  <c r="F29" i="21"/>
  <c r="G216" i="53"/>
  <c r="G148" i="53"/>
  <c r="E41" i="53"/>
  <c r="E94" i="53" s="1"/>
  <c r="E110" i="83"/>
  <c r="I239" i="53"/>
  <c r="I171" i="53"/>
  <c r="D125" i="55"/>
  <c r="F183" i="55" s="1"/>
  <c r="F238" i="55"/>
  <c r="F47" i="81"/>
  <c r="E16" i="55"/>
  <c r="E73" i="55" s="1"/>
  <c r="G245" i="55"/>
  <c r="E132" i="55"/>
  <c r="F23" i="55"/>
  <c r="F80" i="55" s="1"/>
  <c r="G54" i="81"/>
  <c r="G24" i="53"/>
  <c r="G77" i="53" s="1"/>
  <c r="G107" i="81"/>
  <c r="G213" i="53"/>
  <c r="G145" i="53"/>
  <c r="H25" i="53"/>
  <c r="H78" i="53" s="1"/>
  <c r="H108" i="81"/>
  <c r="I25" i="53" s="1"/>
  <c r="I78" i="53" s="1"/>
  <c r="G207" i="53"/>
  <c r="G139" i="53"/>
  <c r="G18" i="53"/>
  <c r="G71" i="53" s="1"/>
  <c r="G101" i="81"/>
  <c r="C131" i="55"/>
  <c r="E189" i="55" s="1"/>
  <c r="E244" i="55"/>
  <c r="D24" i="72"/>
  <c r="D48" i="72" s="1"/>
  <c r="D64" i="72" s="1"/>
  <c r="E78" i="81"/>
  <c r="E53" i="81"/>
  <c r="D22" i="55"/>
  <c r="D79" i="55" s="1"/>
  <c r="F130" i="53"/>
  <c r="F198" i="53"/>
  <c r="F9" i="53"/>
  <c r="F62" i="53" s="1"/>
  <c r="F92" i="81"/>
  <c r="E17" i="55"/>
  <c r="E74" i="55" s="1"/>
  <c r="F48" i="81"/>
  <c r="E20" i="72"/>
  <c r="E44" i="72" s="1"/>
  <c r="F74" i="81"/>
  <c r="E14" i="72"/>
  <c r="E38" i="72" s="1"/>
  <c r="D130" i="55"/>
  <c r="F188" i="55" s="1"/>
  <c r="F243" i="55"/>
  <c r="E16" i="72"/>
  <c r="E40" i="72" s="1"/>
  <c r="F70" i="81"/>
  <c r="E24" i="55"/>
  <c r="E81" i="55" s="1"/>
  <c r="F55" i="81"/>
  <c r="E18" i="55"/>
  <c r="E75" i="55" s="1"/>
  <c r="F49" i="81"/>
  <c r="E13" i="55"/>
  <c r="E70" i="55" s="1"/>
  <c r="F44" i="81"/>
  <c r="F236" i="55"/>
  <c r="D123" i="55"/>
  <c r="F181" i="55" s="1"/>
  <c r="E23" i="72"/>
  <c r="E47" i="72" s="1"/>
  <c r="E77" i="72" s="1"/>
  <c r="F77" i="81"/>
  <c r="D68" i="55"/>
  <c r="F46" i="81"/>
  <c r="E15" i="55"/>
  <c r="E72" i="55" s="1"/>
  <c r="D121" i="55"/>
  <c r="F179" i="55" s="1"/>
  <c r="F234" i="55"/>
  <c r="F246" i="55"/>
  <c r="D133" i="55"/>
  <c r="F191" i="55" s="1"/>
  <c r="F240" i="55"/>
  <c r="D127" i="55"/>
  <c r="F185" i="55" s="1"/>
  <c r="D37" i="72"/>
  <c r="E30" i="72"/>
  <c r="F84" i="81"/>
  <c r="E233" i="55"/>
  <c r="C120" i="55"/>
  <c r="E178" i="55" s="1"/>
  <c r="G201" i="53"/>
  <c r="G133" i="53"/>
  <c r="F241" i="55"/>
  <c r="D128" i="55"/>
  <c r="F186" i="55" s="1"/>
  <c r="F235" i="55"/>
  <c r="D122" i="55"/>
  <c r="F180" i="55" s="1"/>
  <c r="F75" i="81"/>
  <c r="E21" i="72"/>
  <c r="E45" i="72" s="1"/>
  <c r="F45" i="81"/>
  <c r="E14" i="55"/>
  <c r="E71" i="55" s="1"/>
  <c r="E11" i="55"/>
  <c r="F42" i="81"/>
  <c r="F237" i="55"/>
  <c r="D124" i="55"/>
  <c r="F182" i="55" s="1"/>
  <c r="F249" i="55"/>
  <c r="D136" i="55"/>
  <c r="F194" i="55" s="1"/>
  <c r="E19" i="72"/>
  <c r="E43" i="72" s="1"/>
  <c r="E70" i="72" s="1"/>
  <c r="F73" i="81"/>
  <c r="D126" i="55"/>
  <c r="F184" i="55" s="1"/>
  <c r="F239" i="55"/>
  <c r="F76" i="81"/>
  <c r="E22" i="72"/>
  <c r="E46" i="72" s="1"/>
  <c r="G12" i="53"/>
  <c r="G65" i="53" s="1"/>
  <c r="G95" i="81"/>
  <c r="D178" i="55"/>
  <c r="F50" i="81"/>
  <c r="E19" i="55"/>
  <c r="E76" i="55" s="1"/>
  <c r="F69" i="81"/>
  <c r="E15" i="72"/>
  <c r="E39" i="72" s="1"/>
  <c r="F52" i="81"/>
  <c r="E21" i="55"/>
  <c r="E78" i="55" s="1"/>
  <c r="F71" i="81"/>
  <c r="E17" i="72"/>
  <c r="E41" i="72" s="1"/>
  <c r="F250" i="55"/>
  <c r="D137" i="55"/>
  <c r="F195" i="55" s="1"/>
  <c r="F58" i="81"/>
  <c r="E27" i="55"/>
  <c r="E84" i="55" s="1"/>
  <c r="L64" i="22"/>
  <c r="M61" i="22" s="1"/>
  <c r="M56" i="22"/>
  <c r="M57" i="22" s="1"/>
  <c r="N50" i="22"/>
  <c r="N51" i="22" s="1"/>
  <c r="E37" i="22"/>
  <c r="L38" i="22"/>
  <c r="E39" i="22"/>
  <c r="D58" i="72" l="1"/>
  <c r="D161" i="72"/>
  <c r="B79" i="72"/>
  <c r="D145" i="72" s="1"/>
  <c r="Q46" i="85"/>
  <c r="G160" i="72"/>
  <c r="O47" i="85"/>
  <c r="P50" i="85"/>
  <c r="P48" i="85" s="1"/>
  <c r="O49" i="85"/>
  <c r="C78" i="72"/>
  <c r="Q4" i="85"/>
  <c r="G157" i="72"/>
  <c r="F28" i="53"/>
  <c r="F81" i="53" s="1"/>
  <c r="G149" i="53" s="1"/>
  <c r="P6" i="85"/>
  <c r="N8" i="85"/>
  <c r="N5" i="85"/>
  <c r="N7" i="85"/>
  <c r="O7" i="85"/>
  <c r="O8" i="85"/>
  <c r="O5" i="85"/>
  <c r="J180" i="72"/>
  <c r="J181" i="72"/>
  <c r="F155" i="72"/>
  <c r="P31" i="85"/>
  <c r="P35" i="85" s="1"/>
  <c r="E54" i="72"/>
  <c r="F72" i="81"/>
  <c r="F18" i="72" s="1"/>
  <c r="F42" i="72" s="1"/>
  <c r="G111" i="81"/>
  <c r="H111" i="81" s="1"/>
  <c r="I28" i="53" s="1"/>
  <c r="I81" i="53" s="1"/>
  <c r="J217" i="53" s="1"/>
  <c r="D135" i="55"/>
  <c r="F193" i="55" s="1"/>
  <c r="G190" i="55"/>
  <c r="B35" i="72"/>
  <c r="D167" i="72" s="1"/>
  <c r="D164" i="72"/>
  <c r="F154" i="72"/>
  <c r="N33" i="85"/>
  <c r="G224" i="53"/>
  <c r="G156" i="53"/>
  <c r="G104" i="83"/>
  <c r="G35" i="53"/>
  <c r="G88" i="53" s="1"/>
  <c r="H107" i="83"/>
  <c r="I38" i="53" s="1"/>
  <c r="I91" i="53" s="1"/>
  <c r="H38" i="53"/>
  <c r="H91" i="53" s="1"/>
  <c r="D32" i="84"/>
  <c r="E93" i="83"/>
  <c r="E69" i="83"/>
  <c r="D58" i="55"/>
  <c r="D115" i="55" s="1"/>
  <c r="G61" i="83"/>
  <c r="F50" i="55"/>
  <c r="F107" i="55" s="1"/>
  <c r="H45" i="53"/>
  <c r="H98" i="53" s="1"/>
  <c r="H114" i="83"/>
  <c r="I45" i="53" s="1"/>
  <c r="I98" i="53" s="1"/>
  <c r="G76" i="83"/>
  <c r="F15" i="84"/>
  <c r="F46" i="84" s="1"/>
  <c r="F70" i="83"/>
  <c r="E59" i="55"/>
  <c r="E116" i="55" s="1"/>
  <c r="F120" i="83"/>
  <c r="F51" i="53"/>
  <c r="F104" i="53" s="1"/>
  <c r="G172" i="53" s="1"/>
  <c r="H238" i="53"/>
  <c r="H170" i="53"/>
  <c r="H178" i="53"/>
  <c r="H243" i="53"/>
  <c r="F53" i="53"/>
  <c r="F106" i="53" s="1"/>
  <c r="G174" i="53" s="1"/>
  <c r="F122" i="83"/>
  <c r="F98" i="83"/>
  <c r="E37" i="84"/>
  <c r="E65" i="84" s="1"/>
  <c r="F121" i="83"/>
  <c r="F52" i="53"/>
  <c r="F105" i="53" s="1"/>
  <c r="G173" i="53" s="1"/>
  <c r="F20" i="84"/>
  <c r="F51" i="84" s="1"/>
  <c r="G81" i="83"/>
  <c r="F56" i="53"/>
  <c r="F109" i="53" s="1"/>
  <c r="F125" i="83"/>
  <c r="G163" i="53"/>
  <c r="G231" i="53"/>
  <c r="H227" i="53"/>
  <c r="H159" i="53"/>
  <c r="E94" i="83"/>
  <c r="D33" i="84"/>
  <c r="C167" i="55"/>
  <c r="E226" i="55" s="1"/>
  <c r="E277" i="55"/>
  <c r="G272" i="55"/>
  <c r="E159" i="55"/>
  <c r="G218" i="55" s="1"/>
  <c r="H166" i="53"/>
  <c r="H234" i="53"/>
  <c r="D168" i="55"/>
  <c r="F227" i="55" s="1"/>
  <c r="F278" i="55"/>
  <c r="H118" i="83"/>
  <c r="I49" i="53" s="1"/>
  <c r="I102" i="53" s="1"/>
  <c r="H49" i="53"/>
  <c r="H102" i="53" s="1"/>
  <c r="F28" i="84"/>
  <c r="F59" i="84" s="1"/>
  <c r="G89" i="83"/>
  <c r="D36" i="84"/>
  <c r="D64" i="84" s="1"/>
  <c r="E97" i="83"/>
  <c r="H126" i="83"/>
  <c r="I57" i="53" s="1"/>
  <c r="I110" i="53" s="1"/>
  <c r="J243" i="53" s="1"/>
  <c r="H57" i="53"/>
  <c r="H110" i="53" s="1"/>
  <c r="F177" i="53"/>
  <c r="F242" i="53"/>
  <c r="G111" i="83"/>
  <c r="G42" i="53"/>
  <c r="G95" i="53" s="1"/>
  <c r="D31" i="84"/>
  <c r="E92" i="83"/>
  <c r="F142" i="53"/>
  <c r="F210" i="53"/>
  <c r="F104" i="81"/>
  <c r="F21" i="53"/>
  <c r="F74" i="53" s="1"/>
  <c r="F25" i="72"/>
  <c r="F49" i="72" s="1"/>
  <c r="F103" i="81"/>
  <c r="G103" i="81" s="1"/>
  <c r="H103" i="81" s="1"/>
  <c r="I20" i="53" s="1"/>
  <c r="I73" i="53" s="1"/>
  <c r="J209" i="53" s="1"/>
  <c r="G209" i="53"/>
  <c r="H214" i="53"/>
  <c r="G27" i="53"/>
  <c r="G80" i="53" s="1"/>
  <c r="H148" i="53" s="1"/>
  <c r="E28" i="55"/>
  <c r="E85" i="55" s="1"/>
  <c r="G250" i="55" s="1"/>
  <c r="H30" i="53"/>
  <c r="H83" i="53" s="1"/>
  <c r="G217" i="53"/>
  <c r="I132" i="53"/>
  <c r="F83" i="81"/>
  <c r="G83" i="81" s="1"/>
  <c r="F82" i="81"/>
  <c r="F28" i="72" s="1"/>
  <c r="F52" i="72" s="1"/>
  <c r="E12" i="55"/>
  <c r="E69" i="55" s="1"/>
  <c r="G234" i="55" s="1"/>
  <c r="E13" i="72"/>
  <c r="E37" i="72" s="1"/>
  <c r="H205" i="53"/>
  <c r="C32" i="72"/>
  <c r="E119" i="53"/>
  <c r="F252" i="53" s="1"/>
  <c r="D25" i="55"/>
  <c r="D82" i="55" s="1"/>
  <c r="E56" i="81"/>
  <c r="E247" i="55"/>
  <c r="C134" i="55"/>
  <c r="E192" i="55" s="1"/>
  <c r="F23" i="53"/>
  <c r="F76" i="53" s="1"/>
  <c r="F106" i="81"/>
  <c r="E81" i="81"/>
  <c r="D27" i="72"/>
  <c r="D51" i="72" s="1"/>
  <c r="F144" i="53"/>
  <c r="F212" i="53"/>
  <c r="E26" i="72"/>
  <c r="E50" i="72" s="1"/>
  <c r="D20" i="55"/>
  <c r="D77" i="55" s="1"/>
  <c r="E51" i="81"/>
  <c r="E242" i="55"/>
  <c r="C129" i="55"/>
  <c r="E187" i="55" s="1"/>
  <c r="D30" i="55"/>
  <c r="D87" i="55" s="1"/>
  <c r="E61" i="81"/>
  <c r="E252" i="55"/>
  <c r="C139" i="55"/>
  <c r="E197" i="55" s="1"/>
  <c r="I137" i="53"/>
  <c r="C33" i="55"/>
  <c r="C10" i="55" s="1"/>
  <c r="E282" i="55" s="1"/>
  <c r="G80" i="83"/>
  <c r="F19" i="84"/>
  <c r="F50" i="84" s="1"/>
  <c r="F156" i="55"/>
  <c r="H215" i="55" s="1"/>
  <c r="H269" i="55"/>
  <c r="H58" i="83"/>
  <c r="H47" i="55" s="1"/>
  <c r="H104" i="55" s="1"/>
  <c r="G47" i="55"/>
  <c r="G104" i="55" s="1"/>
  <c r="G57" i="83"/>
  <c r="F46" i="55"/>
  <c r="F103" i="55" s="1"/>
  <c r="G85" i="83"/>
  <c r="F24" i="84"/>
  <c r="F55" i="84" s="1"/>
  <c r="G268" i="55"/>
  <c r="E155" i="55"/>
  <c r="G214" i="55" s="1"/>
  <c r="F45" i="55"/>
  <c r="F102" i="55" s="1"/>
  <c r="G56" i="83"/>
  <c r="G267" i="55"/>
  <c r="E154" i="55"/>
  <c r="G213" i="55" s="1"/>
  <c r="F23" i="84"/>
  <c r="F54" i="84" s="1"/>
  <c r="G84" i="83"/>
  <c r="G83" i="83"/>
  <c r="F22" i="84"/>
  <c r="F53" i="84" s="1"/>
  <c r="G266" i="55"/>
  <c r="E153" i="55"/>
  <c r="G212" i="55" s="1"/>
  <c r="F44" i="55"/>
  <c r="F101" i="55" s="1"/>
  <c r="G55" i="83"/>
  <c r="F18" i="84"/>
  <c r="F49" i="84" s="1"/>
  <c r="G79" i="83"/>
  <c r="G17" i="84"/>
  <c r="G48" i="84" s="1"/>
  <c r="H78" i="83"/>
  <c r="H17" i="84" s="1"/>
  <c r="H48" i="84" s="1"/>
  <c r="G148" i="55"/>
  <c r="I207" i="55" s="1"/>
  <c r="I261" i="55"/>
  <c r="H148" i="55"/>
  <c r="J261" i="55"/>
  <c r="J206" i="55"/>
  <c r="H146" i="55"/>
  <c r="J259" i="55"/>
  <c r="G146" i="55"/>
  <c r="I205" i="55" s="1"/>
  <c r="I259" i="55"/>
  <c r="G258" i="55"/>
  <c r="E145" i="55"/>
  <c r="G204" i="55" s="1"/>
  <c r="F36" i="55"/>
  <c r="F93" i="55" s="1"/>
  <c r="G47" i="83"/>
  <c r="G75" i="83"/>
  <c r="F14" i="84"/>
  <c r="F45" i="84" s="1"/>
  <c r="E115" i="53"/>
  <c r="F247" i="53" s="1"/>
  <c r="D191" i="53"/>
  <c r="E35" i="61" s="1"/>
  <c r="E48" i="61"/>
  <c r="H102" i="81"/>
  <c r="I19" i="53" s="1"/>
  <c r="I72" i="53" s="1"/>
  <c r="J208" i="53" s="1"/>
  <c r="H19" i="53"/>
  <c r="H72" i="53" s="1"/>
  <c r="H13" i="53"/>
  <c r="H66" i="53" s="1"/>
  <c r="H96" i="81"/>
  <c r="I13" i="53" s="1"/>
  <c r="I66" i="53" s="1"/>
  <c r="H199" i="53"/>
  <c r="H131" i="53"/>
  <c r="H98" i="81"/>
  <c r="I15" i="53" s="1"/>
  <c r="I68" i="53" s="1"/>
  <c r="J204" i="53" s="1"/>
  <c r="H15" i="53"/>
  <c r="H68" i="53" s="1"/>
  <c r="H202" i="53"/>
  <c r="H134" i="53"/>
  <c r="H93" i="81"/>
  <c r="I10" i="53" s="1"/>
  <c r="I63" i="53" s="1"/>
  <c r="H10" i="53"/>
  <c r="H63" i="53" s="1"/>
  <c r="H136" i="53"/>
  <c r="H204" i="53"/>
  <c r="H97" i="81"/>
  <c r="I14" i="53" s="1"/>
  <c r="I67" i="53" s="1"/>
  <c r="H14" i="53"/>
  <c r="H67" i="53" s="1"/>
  <c r="H208" i="53"/>
  <c r="H140" i="53"/>
  <c r="H135" i="53"/>
  <c r="H203" i="53"/>
  <c r="E15" i="61"/>
  <c r="F6" i="61" s="1"/>
  <c r="E260" i="53" s="1"/>
  <c r="G57" i="81"/>
  <c r="F26" i="55"/>
  <c r="F83" i="55" s="1"/>
  <c r="G248" i="55"/>
  <c r="E135" i="55"/>
  <c r="E118" i="53"/>
  <c r="F187" i="53" s="1"/>
  <c r="E114" i="53"/>
  <c r="F246" i="53" s="1"/>
  <c r="G25" i="72"/>
  <c r="G49" i="72" s="1"/>
  <c r="H79" i="81"/>
  <c r="H25" i="72" s="1"/>
  <c r="H49" i="72" s="1"/>
  <c r="H149" i="53"/>
  <c r="H217" i="53"/>
  <c r="G143" i="53"/>
  <c r="G211" i="53"/>
  <c r="E252" i="53"/>
  <c r="E188" i="53"/>
  <c r="H55" i="53"/>
  <c r="H108" i="53" s="1"/>
  <c r="H124" i="83"/>
  <c r="I55" i="53" s="1"/>
  <c r="I108" i="53" s="1"/>
  <c r="H27" i="53"/>
  <c r="H80" i="53" s="1"/>
  <c r="H110" i="81"/>
  <c r="I27" i="53" s="1"/>
  <c r="I80" i="53" s="1"/>
  <c r="E62" i="81"/>
  <c r="D31" i="55"/>
  <c r="F92" i="55"/>
  <c r="F85" i="81"/>
  <c r="E31" i="72"/>
  <c r="E55" i="72" s="1"/>
  <c r="E71" i="72" s="1"/>
  <c r="G158" i="72" s="1"/>
  <c r="G63" i="83"/>
  <c r="F52" i="55"/>
  <c r="F109" i="55" s="1"/>
  <c r="J164" i="53"/>
  <c r="J232" i="53"/>
  <c r="D46" i="22"/>
  <c r="D65" i="22"/>
  <c r="G257" i="55"/>
  <c r="E144" i="55"/>
  <c r="G203" i="55" s="1"/>
  <c r="D285" i="55"/>
  <c r="D43" i="55"/>
  <c r="E54" i="83"/>
  <c r="E254" i="53"/>
  <c r="E255" i="53"/>
  <c r="E182" i="53"/>
  <c r="E246" i="53"/>
  <c r="E247" i="53"/>
  <c r="E183" i="53"/>
  <c r="F112" i="81"/>
  <c r="F29" i="53"/>
  <c r="F82" i="53" s="1"/>
  <c r="H176" i="53"/>
  <c r="H241" i="53"/>
  <c r="G29" i="21"/>
  <c r="H102" i="83"/>
  <c r="I33" i="53" s="1"/>
  <c r="I86" i="53" s="1"/>
  <c r="H33" i="53"/>
  <c r="H86" i="53" s="1"/>
  <c r="G123" i="83"/>
  <c r="G54" i="53"/>
  <c r="G107" i="53" s="1"/>
  <c r="D45" i="22"/>
  <c r="C67" i="22"/>
  <c r="D265" i="55"/>
  <c r="B152" i="55"/>
  <c r="D211" i="55" s="1"/>
  <c r="H46" i="83"/>
  <c r="H35" i="55" s="1"/>
  <c r="G35" i="55"/>
  <c r="E161" i="55"/>
  <c r="G220" i="55" s="1"/>
  <c r="G274" i="55"/>
  <c r="G42" i="55"/>
  <c r="G99" i="55" s="1"/>
  <c r="H53" i="83"/>
  <c r="H42" i="55" s="1"/>
  <c r="H99" i="55" s="1"/>
  <c r="I164" i="53"/>
  <c r="I232" i="53"/>
  <c r="H167" i="53"/>
  <c r="H235" i="53"/>
  <c r="E29" i="55"/>
  <c r="E86" i="55" s="1"/>
  <c r="F60" i="81"/>
  <c r="H29" i="84"/>
  <c r="H60" i="84" s="1"/>
  <c r="G29" i="84"/>
  <c r="G60" i="84" s="1"/>
  <c r="F67" i="83"/>
  <c r="E56" i="55"/>
  <c r="E113" i="55" s="1"/>
  <c r="I236" i="53"/>
  <c r="I168" i="53"/>
  <c r="I233" i="53"/>
  <c r="I165" i="53"/>
  <c r="H222" i="53"/>
  <c r="H154" i="53"/>
  <c r="F164" i="84"/>
  <c r="D124" i="84"/>
  <c r="D141" i="84" s="1"/>
  <c r="F167" i="84"/>
  <c r="F163" i="84"/>
  <c r="D125" i="84"/>
  <c r="D142" i="84" s="1"/>
  <c r="F155" i="84" s="1"/>
  <c r="D126" i="84"/>
  <c r="D143" i="84" s="1"/>
  <c r="F156" i="84" s="1"/>
  <c r="F110" i="83"/>
  <c r="F41" i="53"/>
  <c r="F94" i="53" s="1"/>
  <c r="C100" i="55"/>
  <c r="C61" i="55"/>
  <c r="E248" i="53"/>
  <c r="E184" i="53"/>
  <c r="E40" i="61"/>
  <c r="B13" i="21"/>
  <c r="F150" i="53"/>
  <c r="F218" i="53"/>
  <c r="I219" i="53"/>
  <c r="I151" i="53"/>
  <c r="J262" i="55"/>
  <c r="H149" i="55"/>
  <c r="F158" i="55"/>
  <c r="H217" i="55" s="1"/>
  <c r="H271" i="55"/>
  <c r="G175" i="53"/>
  <c r="G240" i="53"/>
  <c r="F151" i="55"/>
  <c r="H210" i="55" s="1"/>
  <c r="H264" i="55"/>
  <c r="K45" i="22"/>
  <c r="K46" i="22"/>
  <c r="K66" i="22"/>
  <c r="D21" i="84"/>
  <c r="E82" i="83"/>
  <c r="H115" i="83"/>
  <c r="I46" i="53" s="1"/>
  <c r="I99" i="53" s="1"/>
  <c r="H46" i="53"/>
  <c r="H99" i="53" s="1"/>
  <c r="D138" i="55"/>
  <c r="F196" i="55" s="1"/>
  <c r="F251" i="55"/>
  <c r="I274" i="53"/>
  <c r="F32" i="21"/>
  <c r="F36" i="21" s="1"/>
  <c r="F162" i="53"/>
  <c r="F230" i="53"/>
  <c r="G22" i="53"/>
  <c r="G75" i="53" s="1"/>
  <c r="G105" i="81"/>
  <c r="E251" i="53"/>
  <c r="E187" i="53"/>
  <c r="B65" i="55"/>
  <c r="D200" i="55" s="1"/>
  <c r="D229" i="55" s="1"/>
  <c r="B10" i="55"/>
  <c r="D165" i="55"/>
  <c r="F224" i="55" s="1"/>
  <c r="F275" i="55"/>
  <c r="J151" i="53"/>
  <c r="J219" i="53"/>
  <c r="J168" i="53"/>
  <c r="J236" i="53"/>
  <c r="J233" i="53"/>
  <c r="J165" i="53"/>
  <c r="I262" i="55"/>
  <c r="G149" i="55"/>
  <c r="I208" i="55" s="1"/>
  <c r="H60" i="83"/>
  <c r="H49" i="55" s="1"/>
  <c r="H106" i="55" s="1"/>
  <c r="G49" i="55"/>
  <c r="G106" i="55" s="1"/>
  <c r="F30" i="84"/>
  <c r="F61" i="84" s="1"/>
  <c r="G91" i="83"/>
  <c r="H91" i="83" s="1"/>
  <c r="E168" i="84"/>
  <c r="E169" i="84"/>
  <c r="E154" i="84"/>
  <c r="E159" i="84" s="1"/>
  <c r="C140" i="55"/>
  <c r="E198" i="55" s="1"/>
  <c r="E253" i="55"/>
  <c r="H87" i="83"/>
  <c r="H26" i="84" s="1"/>
  <c r="H57" i="84" s="1"/>
  <c r="G26" i="84"/>
  <c r="G57" i="84" s="1"/>
  <c r="B42" i="84"/>
  <c r="B12" i="84"/>
  <c r="E116" i="53"/>
  <c r="G27" i="84"/>
  <c r="G58" i="84" s="1"/>
  <c r="H88" i="83"/>
  <c r="H27" i="84" s="1"/>
  <c r="H58" i="84" s="1"/>
  <c r="E34" i="84"/>
  <c r="E62" i="84" s="1"/>
  <c r="F95" i="83"/>
  <c r="C52" i="84"/>
  <c r="C39" i="84"/>
  <c r="J244" i="53"/>
  <c r="J267" i="53"/>
  <c r="J152" i="53"/>
  <c r="J206" i="53"/>
  <c r="J268" i="53"/>
  <c r="J266" i="53"/>
  <c r="J269" i="53"/>
  <c r="J220" i="53"/>
  <c r="J215" i="53"/>
  <c r="J160" i="53"/>
  <c r="J238" i="53"/>
  <c r="J166" i="53"/>
  <c r="J158" i="53"/>
  <c r="J227" i="53"/>
  <c r="J234" i="53"/>
  <c r="J228" i="53"/>
  <c r="J226" i="53"/>
  <c r="J237" i="53"/>
  <c r="J170" i="53"/>
  <c r="J169" i="53"/>
  <c r="J159" i="53"/>
  <c r="J137" i="53"/>
  <c r="J161" i="53"/>
  <c r="J229" i="53"/>
  <c r="J205" i="53"/>
  <c r="J155" i="53"/>
  <c r="J132" i="53"/>
  <c r="J223" i="53"/>
  <c r="J200" i="53"/>
  <c r="F16" i="55"/>
  <c r="F73" i="55" s="1"/>
  <c r="G47" i="81"/>
  <c r="G238" i="55"/>
  <c r="E125" i="55"/>
  <c r="G183" i="55" s="1"/>
  <c r="G23" i="55"/>
  <c r="G80" i="55" s="1"/>
  <c r="H54" i="81"/>
  <c r="H23" i="55" s="1"/>
  <c r="H80" i="55" s="1"/>
  <c r="F132" i="55"/>
  <c r="H190" i="55" s="1"/>
  <c r="H245" i="55"/>
  <c r="D131" i="55"/>
  <c r="F189" i="55" s="1"/>
  <c r="F244" i="55"/>
  <c r="H139" i="53"/>
  <c r="H207" i="53"/>
  <c r="H101" i="81"/>
  <c r="I18" i="53" s="1"/>
  <c r="I71" i="53" s="1"/>
  <c r="H18" i="53"/>
  <c r="H71" i="53" s="1"/>
  <c r="E22" i="55"/>
  <c r="E79" i="55" s="1"/>
  <c r="F53" i="81"/>
  <c r="J214" i="53"/>
  <c r="J146" i="53"/>
  <c r="H24" i="53"/>
  <c r="H77" i="53" s="1"/>
  <c r="H107" i="81"/>
  <c r="I24" i="53" s="1"/>
  <c r="I77" i="53" s="1"/>
  <c r="E24" i="72"/>
  <c r="E48" i="72" s="1"/>
  <c r="E64" i="72" s="1"/>
  <c r="F78" i="81"/>
  <c r="I146" i="53"/>
  <c r="I214" i="53"/>
  <c r="H145" i="53"/>
  <c r="H213" i="53"/>
  <c r="G92" i="81"/>
  <c r="G9" i="53"/>
  <c r="G62" i="53" s="1"/>
  <c r="G198" i="53"/>
  <c r="G130" i="53"/>
  <c r="E136" i="55"/>
  <c r="G194" i="55" s="1"/>
  <c r="G249" i="55"/>
  <c r="F17" i="72"/>
  <c r="F41" i="72" s="1"/>
  <c r="G71" i="81"/>
  <c r="H133" i="53"/>
  <c r="H201" i="53"/>
  <c r="F22" i="72"/>
  <c r="F46" i="72" s="1"/>
  <c r="G76" i="81"/>
  <c r="E68" i="55"/>
  <c r="E123" i="55"/>
  <c r="G181" i="55" s="1"/>
  <c r="G236" i="55"/>
  <c r="G55" i="81"/>
  <c r="F24" i="55"/>
  <c r="F81" i="55" s="1"/>
  <c r="F26" i="72"/>
  <c r="F50" i="72" s="1"/>
  <c r="G80" i="81"/>
  <c r="G239" i="55"/>
  <c r="E126" i="55"/>
  <c r="G184" i="55" s="1"/>
  <c r="G58" i="81"/>
  <c r="F27" i="55"/>
  <c r="F84" i="55" s="1"/>
  <c r="G69" i="81"/>
  <c r="F15" i="72"/>
  <c r="F39" i="72" s="1"/>
  <c r="F28" i="55"/>
  <c r="F85" i="55" s="1"/>
  <c r="G59" i="81"/>
  <c r="F14" i="55"/>
  <c r="F71" i="55" s="1"/>
  <c r="G45" i="81"/>
  <c r="G84" i="81"/>
  <c r="F30" i="72"/>
  <c r="D120" i="55"/>
  <c r="F233" i="55"/>
  <c r="E133" i="55"/>
  <c r="G191" i="55" s="1"/>
  <c r="G246" i="55"/>
  <c r="E130" i="55"/>
  <c r="G188" i="55" s="1"/>
  <c r="G243" i="55"/>
  <c r="G241" i="55"/>
  <c r="E128" i="55"/>
  <c r="G186" i="55" s="1"/>
  <c r="F19" i="72"/>
  <c r="F43" i="72" s="1"/>
  <c r="F70" i="72" s="1"/>
  <c r="G73" i="81"/>
  <c r="E124" i="55"/>
  <c r="G182" i="55" s="1"/>
  <c r="G237" i="55"/>
  <c r="F23" i="72"/>
  <c r="F47" i="72" s="1"/>
  <c r="F77" i="72" s="1"/>
  <c r="G77" i="81"/>
  <c r="G44" i="81"/>
  <c r="F13" i="55"/>
  <c r="F70" i="55" s="1"/>
  <c r="F18" i="55"/>
  <c r="F75" i="55" s="1"/>
  <c r="G49" i="81"/>
  <c r="G43" i="81"/>
  <c r="F12" i="55"/>
  <c r="F69" i="55" s="1"/>
  <c r="F14" i="72"/>
  <c r="F38" i="72" s="1"/>
  <c r="F13" i="72"/>
  <c r="G67" i="81"/>
  <c r="F21" i="55"/>
  <c r="F78" i="55" s="1"/>
  <c r="G52" i="81"/>
  <c r="G50" i="81"/>
  <c r="F19" i="55"/>
  <c r="F76" i="55" s="1"/>
  <c r="H12" i="53"/>
  <c r="H65" i="53" s="1"/>
  <c r="H95" i="81"/>
  <c r="I12" i="53" s="1"/>
  <c r="I65" i="53" s="1"/>
  <c r="F11" i="55"/>
  <c r="G42" i="81"/>
  <c r="F21" i="72"/>
  <c r="F45" i="72" s="1"/>
  <c r="G75" i="81"/>
  <c r="F15" i="55"/>
  <c r="F72" i="55" s="1"/>
  <c r="G46" i="81"/>
  <c r="E122" i="55"/>
  <c r="G180" i="55" s="1"/>
  <c r="G235" i="55"/>
  <c r="G240" i="55"/>
  <c r="E127" i="55"/>
  <c r="G185" i="55" s="1"/>
  <c r="F16" i="72"/>
  <c r="F40" i="72" s="1"/>
  <c r="G70" i="81"/>
  <c r="G74" i="81"/>
  <c r="F20" i="72"/>
  <c r="F44" i="72" s="1"/>
  <c r="G48" i="81"/>
  <c r="F17" i="55"/>
  <c r="F74" i="55" s="1"/>
  <c r="M62" i="22"/>
  <c r="M63" i="22" s="1"/>
  <c r="M58" i="22"/>
  <c r="N55" i="22" s="1"/>
  <c r="N56" i="22" s="1"/>
  <c r="N52" i="22"/>
  <c r="O49" i="22" s="1"/>
  <c r="L40" i="22"/>
  <c r="L39" i="22"/>
  <c r="F39" i="22"/>
  <c r="E40" i="22"/>
  <c r="P47" i="85" l="1"/>
  <c r="H160" i="72"/>
  <c r="R46" i="85"/>
  <c r="Q50" i="85"/>
  <c r="Q48" i="85" s="1"/>
  <c r="P49" i="85"/>
  <c r="D78" i="72"/>
  <c r="C79" i="72"/>
  <c r="E145" i="72" s="1"/>
  <c r="E161" i="72"/>
  <c r="B65" i="72"/>
  <c r="B67" i="72" s="1"/>
  <c r="D156" i="72"/>
  <c r="E58" i="72"/>
  <c r="R4" i="85"/>
  <c r="H157" i="72"/>
  <c r="O9" i="85"/>
  <c r="C72" i="72"/>
  <c r="N9" i="85"/>
  <c r="B72" i="72"/>
  <c r="H28" i="53"/>
  <c r="H81" i="53" s="1"/>
  <c r="Q6" i="85"/>
  <c r="P10" i="85"/>
  <c r="P7" i="85" s="1"/>
  <c r="Q31" i="85"/>
  <c r="Q35" i="85" s="1"/>
  <c r="G155" i="72"/>
  <c r="J185" i="72"/>
  <c r="H29" i="21" s="1"/>
  <c r="F54" i="72"/>
  <c r="G72" i="81"/>
  <c r="D148" i="72"/>
  <c r="G193" i="55"/>
  <c r="G20" i="53"/>
  <c r="G73" i="53" s="1"/>
  <c r="H209" i="53" s="1"/>
  <c r="B61" i="72"/>
  <c r="D141" i="72" s="1"/>
  <c r="N32" i="85"/>
  <c r="O33" i="85"/>
  <c r="G154" i="72"/>
  <c r="N34" i="85"/>
  <c r="G120" i="83"/>
  <c r="G51" i="53"/>
  <c r="G104" i="53" s="1"/>
  <c r="H172" i="53" s="1"/>
  <c r="H61" i="83"/>
  <c r="H50" i="55" s="1"/>
  <c r="H107" i="55" s="1"/>
  <c r="G50" i="55"/>
  <c r="G107" i="55" s="1"/>
  <c r="H35" i="53"/>
  <c r="H88" i="53" s="1"/>
  <c r="H104" i="83"/>
  <c r="I35" i="53" s="1"/>
  <c r="I88" i="53" s="1"/>
  <c r="H231" i="53"/>
  <c r="H163" i="53"/>
  <c r="H156" i="53"/>
  <c r="H224" i="53"/>
  <c r="H111" i="83"/>
  <c r="I42" i="53" s="1"/>
  <c r="I95" i="53" s="1"/>
  <c r="H42" i="53"/>
  <c r="H95" i="53" s="1"/>
  <c r="F94" i="83"/>
  <c r="E33" i="84"/>
  <c r="G98" i="83"/>
  <c r="F37" i="84"/>
  <c r="F65" i="84" s="1"/>
  <c r="E31" i="84"/>
  <c r="F92" i="83"/>
  <c r="E36" i="84"/>
  <c r="E64" i="84" s="1"/>
  <c r="F97" i="83"/>
  <c r="I170" i="53"/>
  <c r="I238" i="53"/>
  <c r="G125" i="83"/>
  <c r="G56" i="53"/>
  <c r="G109" i="53" s="1"/>
  <c r="G122" i="83"/>
  <c r="G53" i="53"/>
  <c r="G106" i="53" s="1"/>
  <c r="H174" i="53" s="1"/>
  <c r="G278" i="55"/>
  <c r="E168" i="55"/>
  <c r="G227" i="55" s="1"/>
  <c r="D167" i="55"/>
  <c r="F226" i="55" s="1"/>
  <c r="F277" i="55"/>
  <c r="I227" i="53"/>
  <c r="I159" i="53"/>
  <c r="I178" i="53"/>
  <c r="I243" i="53"/>
  <c r="H89" i="83"/>
  <c r="H28" i="84" s="1"/>
  <c r="H59" i="84" s="1"/>
  <c r="G28" i="84"/>
  <c r="G59" i="84" s="1"/>
  <c r="H81" i="83"/>
  <c r="H20" i="84" s="1"/>
  <c r="H51" i="84" s="1"/>
  <c r="G20" i="84"/>
  <c r="G51" i="84" s="1"/>
  <c r="F159" i="55"/>
  <c r="H218" i="55" s="1"/>
  <c r="H272" i="55"/>
  <c r="E32" i="84"/>
  <c r="F93" i="83"/>
  <c r="J178" i="53"/>
  <c r="H76" i="83"/>
  <c r="H15" i="84" s="1"/>
  <c r="H46" i="84" s="1"/>
  <c r="G15" i="84"/>
  <c r="G46" i="84" s="1"/>
  <c r="J207" i="55"/>
  <c r="G177" i="53"/>
  <c r="G242" i="53"/>
  <c r="G121" i="83"/>
  <c r="G52" i="53"/>
  <c r="G105" i="53" s="1"/>
  <c r="H173" i="53" s="1"/>
  <c r="G70" i="83"/>
  <c r="F59" i="55"/>
  <c r="F116" i="55" s="1"/>
  <c r="I166" i="53"/>
  <c r="I234" i="53"/>
  <c r="F69" i="83"/>
  <c r="E58" i="55"/>
  <c r="E115" i="55" s="1"/>
  <c r="H20" i="53"/>
  <c r="H73" i="53" s="1"/>
  <c r="J141" i="53" s="1"/>
  <c r="G104" i="81"/>
  <c r="G21" i="53"/>
  <c r="G74" i="53" s="1"/>
  <c r="G142" i="53"/>
  <c r="G210" i="53"/>
  <c r="H216" i="53"/>
  <c r="F29" i="72"/>
  <c r="F53" i="72" s="1"/>
  <c r="E137" i="55"/>
  <c r="G195" i="55" s="1"/>
  <c r="E121" i="55"/>
  <c r="G179" i="55" s="1"/>
  <c r="G82" i="81"/>
  <c r="G28" i="72" s="1"/>
  <c r="G52" i="72" s="1"/>
  <c r="E164" i="72"/>
  <c r="F188" i="53"/>
  <c r="J136" i="53"/>
  <c r="C35" i="72"/>
  <c r="E148" i="72" s="1"/>
  <c r="D32" i="72"/>
  <c r="F81" i="81"/>
  <c r="E27" i="72"/>
  <c r="E51" i="72" s="1"/>
  <c r="G106" i="81"/>
  <c r="G23" i="53"/>
  <c r="G76" i="53" s="1"/>
  <c r="F56" i="81"/>
  <c r="E25" i="55"/>
  <c r="E82" i="55" s="1"/>
  <c r="G212" i="53"/>
  <c r="G144" i="53"/>
  <c r="D134" i="55"/>
  <c r="F192" i="55" s="1"/>
  <c r="F247" i="55"/>
  <c r="D129" i="55"/>
  <c r="F187" i="55" s="1"/>
  <c r="F242" i="55"/>
  <c r="F51" i="81"/>
  <c r="E20" i="55"/>
  <c r="E77" i="55" s="1"/>
  <c r="C65" i="55"/>
  <c r="E200" i="55" s="1"/>
  <c r="E283" i="55"/>
  <c r="F252" i="55"/>
  <c r="D139" i="55"/>
  <c r="F197" i="55" s="1"/>
  <c r="E30" i="55"/>
  <c r="E87" i="55" s="1"/>
  <c r="F61" i="81"/>
  <c r="B12" i="21"/>
  <c r="C171" i="29" s="1"/>
  <c r="E284" i="55"/>
  <c r="F183" i="53"/>
  <c r="H80" i="83"/>
  <c r="H19" i="84" s="1"/>
  <c r="H50" i="84" s="1"/>
  <c r="G19" i="84"/>
  <c r="G50" i="84" s="1"/>
  <c r="I269" i="55"/>
  <c r="G156" i="55"/>
  <c r="I215" i="55" s="1"/>
  <c r="J269" i="55"/>
  <c r="H156" i="55"/>
  <c r="J215" i="55" s="1"/>
  <c r="G24" i="84"/>
  <c r="G55" i="84" s="1"/>
  <c r="H85" i="83"/>
  <c r="H24" i="84" s="1"/>
  <c r="H55" i="84" s="1"/>
  <c r="H268" i="55"/>
  <c r="F155" i="55"/>
  <c r="H214" i="55" s="1"/>
  <c r="H57" i="83"/>
  <c r="H46" i="55" s="1"/>
  <c r="H103" i="55" s="1"/>
  <c r="G46" i="55"/>
  <c r="G103" i="55" s="1"/>
  <c r="G23" i="84"/>
  <c r="G54" i="84" s="1"/>
  <c r="H84" i="83"/>
  <c r="H23" i="84" s="1"/>
  <c r="H54" i="84" s="1"/>
  <c r="H56" i="83"/>
  <c r="H45" i="55" s="1"/>
  <c r="H102" i="55" s="1"/>
  <c r="G45" i="55"/>
  <c r="G102" i="55" s="1"/>
  <c r="F154" i="55"/>
  <c r="H213" i="55" s="1"/>
  <c r="H267" i="55"/>
  <c r="G44" i="55"/>
  <c r="G101" i="55" s="1"/>
  <c r="H55" i="83"/>
  <c r="H44" i="55" s="1"/>
  <c r="H101" i="55" s="1"/>
  <c r="H266" i="55"/>
  <c r="F153" i="55"/>
  <c r="H212" i="55" s="1"/>
  <c r="H83" i="83"/>
  <c r="H22" i="84" s="1"/>
  <c r="H53" i="84" s="1"/>
  <c r="G22" i="84"/>
  <c r="G53" i="84" s="1"/>
  <c r="J208" i="55"/>
  <c r="G18" i="84"/>
  <c r="G49" i="84" s="1"/>
  <c r="H79" i="83"/>
  <c r="H18" i="84" s="1"/>
  <c r="H49" i="84" s="1"/>
  <c r="J205" i="55"/>
  <c r="G36" i="55"/>
  <c r="G93" i="55" s="1"/>
  <c r="H47" i="83"/>
  <c r="H36" i="55" s="1"/>
  <c r="H93" i="55" s="1"/>
  <c r="F145" i="55"/>
  <c r="H204" i="55" s="1"/>
  <c r="H258" i="55"/>
  <c r="G14" i="84"/>
  <c r="G45" i="84" s="1"/>
  <c r="H75" i="83"/>
  <c r="H14" i="84" s="1"/>
  <c r="H45" i="84" s="1"/>
  <c r="F251" i="53"/>
  <c r="J149" i="53"/>
  <c r="J140" i="53"/>
  <c r="F182" i="53"/>
  <c r="I203" i="53"/>
  <c r="I135" i="53"/>
  <c r="I131" i="53"/>
  <c r="I199" i="53"/>
  <c r="I204" i="53"/>
  <c r="I136" i="53"/>
  <c r="J134" i="53"/>
  <c r="J202" i="53"/>
  <c r="J203" i="53"/>
  <c r="J135" i="53"/>
  <c r="J131" i="53"/>
  <c r="J199" i="53"/>
  <c r="I134" i="53"/>
  <c r="I202" i="53"/>
  <c r="I208" i="53"/>
  <c r="I140" i="53"/>
  <c r="D261" i="53"/>
  <c r="D263" i="53" s="1"/>
  <c r="D275" i="53" s="1"/>
  <c r="D277" i="53" s="1"/>
  <c r="E285" i="55"/>
  <c r="F135" i="55"/>
  <c r="H193" i="55" s="1"/>
  <c r="H248" i="55"/>
  <c r="G26" i="55"/>
  <c r="G83" i="55" s="1"/>
  <c r="H57" i="81"/>
  <c r="H26" i="55" s="1"/>
  <c r="H83" i="55" s="1"/>
  <c r="I217" i="53"/>
  <c r="I149" i="53"/>
  <c r="G146" i="29"/>
  <c r="G176" i="29"/>
  <c r="G131" i="29"/>
  <c r="G24" i="68"/>
  <c r="G161" i="29"/>
  <c r="B8" i="21"/>
  <c r="C137" i="29" s="1"/>
  <c r="E37" i="61"/>
  <c r="F248" i="53"/>
  <c r="F184" i="53"/>
  <c r="L43" i="22"/>
  <c r="K68" i="22"/>
  <c r="G162" i="53"/>
  <c r="G230" i="53"/>
  <c r="E138" i="55"/>
  <c r="G196" i="55" s="1"/>
  <c r="G251" i="55"/>
  <c r="G92" i="55"/>
  <c r="I154" i="53"/>
  <c r="I222" i="53"/>
  <c r="G29" i="53"/>
  <c r="G82" i="53" s="1"/>
  <c r="G112" i="81"/>
  <c r="H274" i="55"/>
  <c r="F161" i="55"/>
  <c r="H220" i="55" s="1"/>
  <c r="H257" i="55"/>
  <c r="F144" i="55"/>
  <c r="H203" i="55" s="1"/>
  <c r="J148" i="53"/>
  <c r="J216" i="53"/>
  <c r="F118" i="53"/>
  <c r="J274" i="53"/>
  <c r="G167" i="84"/>
  <c r="G163" i="84"/>
  <c r="G164" i="84"/>
  <c r="E125" i="84"/>
  <c r="E142" i="84" s="1"/>
  <c r="G155" i="84" s="1"/>
  <c r="E126" i="84"/>
  <c r="E143" i="84" s="1"/>
  <c r="G156" i="84" s="1"/>
  <c r="E124" i="84"/>
  <c r="E141" i="84" s="1"/>
  <c r="D166" i="84"/>
  <c r="D165" i="84"/>
  <c r="J271" i="55"/>
  <c r="H158" i="55"/>
  <c r="I167" i="53"/>
  <c r="I235" i="53"/>
  <c r="F82" i="83"/>
  <c r="E21" i="84"/>
  <c r="K67" i="22"/>
  <c r="G110" i="83"/>
  <c r="G41" i="53"/>
  <c r="G94" i="53" s="1"/>
  <c r="F168" i="84"/>
  <c r="F154" i="84"/>
  <c r="F159" i="84" s="1"/>
  <c r="F169" i="84"/>
  <c r="E165" i="55"/>
  <c r="G224" i="55" s="1"/>
  <c r="G275" i="55"/>
  <c r="H92" i="55"/>
  <c r="E45" i="22"/>
  <c r="D67" i="22"/>
  <c r="J222" i="53"/>
  <c r="J154" i="53"/>
  <c r="F15" i="61"/>
  <c r="F48" i="61"/>
  <c r="E43" i="22"/>
  <c r="D68" i="22"/>
  <c r="G52" i="55"/>
  <c r="G109" i="55" s="1"/>
  <c r="H63" i="83"/>
  <c r="H52" i="55" s="1"/>
  <c r="H109" i="55" s="1"/>
  <c r="I148" i="53"/>
  <c r="I216" i="53"/>
  <c r="G95" i="83"/>
  <c r="F34" i="84"/>
  <c r="F62" i="84" s="1"/>
  <c r="I271" i="55"/>
  <c r="G158" i="55"/>
  <c r="I217" i="55" s="1"/>
  <c r="D100" i="55"/>
  <c r="D61" i="55"/>
  <c r="F255" i="53"/>
  <c r="F115" i="53"/>
  <c r="C42" i="84"/>
  <c r="C12" i="84"/>
  <c r="G30" i="84"/>
  <c r="G61" i="84" s="1"/>
  <c r="H30" i="84"/>
  <c r="H61" i="84" s="1"/>
  <c r="D282" i="55"/>
  <c r="D283" i="55"/>
  <c r="H105" i="81"/>
  <c r="I22" i="53" s="1"/>
  <c r="I75" i="53" s="1"/>
  <c r="H22" i="53"/>
  <c r="H75" i="53" s="1"/>
  <c r="G32" i="21"/>
  <c r="G36" i="21" s="1"/>
  <c r="J235" i="53"/>
  <c r="J167" i="53"/>
  <c r="D52" i="84"/>
  <c r="D39" i="84"/>
  <c r="C37" i="29"/>
  <c r="C172" i="29"/>
  <c r="C157" i="29"/>
  <c r="C142" i="29"/>
  <c r="C127" i="29"/>
  <c r="E265" i="55"/>
  <c r="C152" i="55"/>
  <c r="E211" i="55" s="1"/>
  <c r="F119" i="53"/>
  <c r="F56" i="55"/>
  <c r="F113" i="55" s="1"/>
  <c r="G67" i="83"/>
  <c r="H151" i="55"/>
  <c r="J210" i="55" s="1"/>
  <c r="J264" i="55"/>
  <c r="H240" i="53"/>
  <c r="H175" i="53"/>
  <c r="E191" i="53"/>
  <c r="D88" i="55"/>
  <c r="D33" i="55"/>
  <c r="J176" i="53"/>
  <c r="J241" i="53"/>
  <c r="F254" i="53"/>
  <c r="C13" i="21"/>
  <c r="F40" i="61"/>
  <c r="H211" i="53"/>
  <c r="H143" i="53"/>
  <c r="B14" i="69"/>
  <c r="B15" i="69" s="1"/>
  <c r="B42" i="21"/>
  <c r="B97" i="22"/>
  <c r="F116" i="53"/>
  <c r="F29" i="55"/>
  <c r="F86" i="55" s="1"/>
  <c r="G60" i="81"/>
  <c r="I264" i="55"/>
  <c r="G151" i="55"/>
  <c r="I210" i="55" s="1"/>
  <c r="H123" i="83"/>
  <c r="I54" i="53" s="1"/>
  <c r="I107" i="53" s="1"/>
  <c r="H54" i="53"/>
  <c r="H107" i="53" s="1"/>
  <c r="G150" i="53"/>
  <c r="G218" i="53"/>
  <c r="F114" i="53"/>
  <c r="F54" i="83"/>
  <c r="E43" i="55"/>
  <c r="G85" i="81"/>
  <c r="F31" i="72"/>
  <c r="F55" i="72" s="1"/>
  <c r="F71" i="72" s="1"/>
  <c r="H158" i="72" s="1"/>
  <c r="F62" i="81"/>
  <c r="E31" i="55"/>
  <c r="E88" i="55" s="1"/>
  <c r="I176" i="53"/>
  <c r="I241" i="53"/>
  <c r="G18" i="72"/>
  <c r="G42" i="72" s="1"/>
  <c r="H72" i="81"/>
  <c r="H18" i="72" s="1"/>
  <c r="H42" i="72" s="1"/>
  <c r="H47" i="81"/>
  <c r="H16" i="55" s="1"/>
  <c r="H73" i="55" s="1"/>
  <c r="G16" i="55"/>
  <c r="G73" i="55" s="1"/>
  <c r="H238" i="55"/>
  <c r="F125" i="55"/>
  <c r="H183" i="55" s="1"/>
  <c r="J245" i="55"/>
  <c r="H132" i="55"/>
  <c r="G132" i="55"/>
  <c r="I190" i="55" s="1"/>
  <c r="I245" i="55"/>
  <c r="J213" i="53"/>
  <c r="J145" i="53"/>
  <c r="F22" i="55"/>
  <c r="F79" i="55" s="1"/>
  <c r="G53" i="81"/>
  <c r="J207" i="53"/>
  <c r="J139" i="53"/>
  <c r="I145" i="53"/>
  <c r="I213" i="53"/>
  <c r="E131" i="55"/>
  <c r="G189" i="55" s="1"/>
  <c r="G244" i="55"/>
  <c r="G78" i="81"/>
  <c r="F24" i="72"/>
  <c r="F48" i="72" s="1"/>
  <c r="F64" i="72" s="1"/>
  <c r="I139" i="53"/>
  <c r="I207" i="53"/>
  <c r="H130" i="53"/>
  <c r="H198" i="53"/>
  <c r="H92" i="81"/>
  <c r="I9" i="53" s="1"/>
  <c r="I62" i="53" s="1"/>
  <c r="H9" i="53"/>
  <c r="H62" i="53" s="1"/>
  <c r="H42" i="81"/>
  <c r="H11" i="55" s="1"/>
  <c r="G11" i="55"/>
  <c r="F124" i="55"/>
  <c r="H182" i="55" s="1"/>
  <c r="H237" i="55"/>
  <c r="F68" i="55"/>
  <c r="I201" i="53"/>
  <c r="I133" i="53"/>
  <c r="H243" i="55"/>
  <c r="F130" i="55"/>
  <c r="H188" i="55" s="1"/>
  <c r="H234" i="55"/>
  <c r="F121" i="55"/>
  <c r="G18" i="55"/>
  <c r="G75" i="55" s="1"/>
  <c r="H49" i="81"/>
  <c r="H18" i="55" s="1"/>
  <c r="H75" i="55" s="1"/>
  <c r="F122" i="55"/>
  <c r="H180" i="55" s="1"/>
  <c r="H235" i="55"/>
  <c r="G19" i="72"/>
  <c r="G43" i="72" s="1"/>
  <c r="G70" i="72" s="1"/>
  <c r="H73" i="81"/>
  <c r="H19" i="72" s="1"/>
  <c r="H43" i="72" s="1"/>
  <c r="H70" i="72" s="1"/>
  <c r="F137" i="55"/>
  <c r="H250" i="55"/>
  <c r="G27" i="55"/>
  <c r="G84" i="55" s="1"/>
  <c r="H58" i="81"/>
  <c r="H27" i="55" s="1"/>
  <c r="H84" i="55" s="1"/>
  <c r="E120" i="55"/>
  <c r="G233" i="55"/>
  <c r="G29" i="72"/>
  <c r="G53" i="72" s="1"/>
  <c r="H83" i="81"/>
  <c r="H29" i="72" s="1"/>
  <c r="H53" i="72" s="1"/>
  <c r="G17" i="72"/>
  <c r="G41" i="72" s="1"/>
  <c r="H71" i="81"/>
  <c r="H17" i="72" s="1"/>
  <c r="H41" i="72" s="1"/>
  <c r="G20" i="72"/>
  <c r="G44" i="72" s="1"/>
  <c r="H74" i="81"/>
  <c r="H20" i="72" s="1"/>
  <c r="H44" i="72" s="1"/>
  <c r="H241" i="55"/>
  <c r="F128" i="55"/>
  <c r="H186" i="55" s="1"/>
  <c r="G13" i="72"/>
  <c r="H67" i="81"/>
  <c r="H13" i="72" s="1"/>
  <c r="G14" i="72"/>
  <c r="G38" i="72" s="1"/>
  <c r="H14" i="72"/>
  <c r="H38" i="72" s="1"/>
  <c r="G12" i="55"/>
  <c r="G69" i="55" s="1"/>
  <c r="H43" i="81"/>
  <c r="H12" i="55" s="1"/>
  <c r="H69" i="55" s="1"/>
  <c r="F127" i="55"/>
  <c r="H185" i="55" s="1"/>
  <c r="H240" i="55"/>
  <c r="H44" i="81"/>
  <c r="H13" i="55" s="1"/>
  <c r="H70" i="55" s="1"/>
  <c r="G13" i="55"/>
  <c r="G70" i="55" s="1"/>
  <c r="F178" i="55"/>
  <c r="G14" i="55"/>
  <c r="G71" i="55" s="1"/>
  <c r="H45" i="81"/>
  <c r="H14" i="55" s="1"/>
  <c r="H71" i="55" s="1"/>
  <c r="G26" i="72"/>
  <c r="G50" i="72" s="1"/>
  <c r="H80" i="81"/>
  <c r="H26" i="72" s="1"/>
  <c r="H50" i="72" s="1"/>
  <c r="F133" i="55"/>
  <c r="H191" i="55" s="1"/>
  <c r="H246" i="55"/>
  <c r="G22" i="72"/>
  <c r="G46" i="72" s="1"/>
  <c r="H76" i="81"/>
  <c r="H22" i="72" s="1"/>
  <c r="H46" i="72" s="1"/>
  <c r="H239" i="55"/>
  <c r="F126" i="55"/>
  <c r="H184" i="55" s="1"/>
  <c r="G16" i="72"/>
  <c r="G40" i="72" s="1"/>
  <c r="H70" i="81"/>
  <c r="H16" i="72" s="1"/>
  <c r="H40" i="72" s="1"/>
  <c r="G21" i="72"/>
  <c r="G45" i="72" s="1"/>
  <c r="H75" i="81"/>
  <c r="H21" i="72" s="1"/>
  <c r="H45" i="72" s="1"/>
  <c r="G19" i="55"/>
  <c r="G76" i="55" s="1"/>
  <c r="H50" i="81"/>
  <c r="H19" i="55" s="1"/>
  <c r="H76" i="55" s="1"/>
  <c r="F37" i="72"/>
  <c r="G23" i="72"/>
  <c r="G47" i="72" s="1"/>
  <c r="G77" i="72" s="1"/>
  <c r="H77" i="81"/>
  <c r="H23" i="72" s="1"/>
  <c r="H47" i="72" s="1"/>
  <c r="H77" i="72" s="1"/>
  <c r="H236" i="55"/>
  <c r="F123" i="55"/>
  <c r="H181" i="55" s="1"/>
  <c r="G15" i="72"/>
  <c r="G39" i="72" s="1"/>
  <c r="H69" i="81"/>
  <c r="H15" i="72" s="1"/>
  <c r="H39" i="72" s="1"/>
  <c r="G24" i="55"/>
  <c r="G81" i="55" s="1"/>
  <c r="H55" i="81"/>
  <c r="H24" i="55" s="1"/>
  <c r="H81" i="55" s="1"/>
  <c r="G17" i="55"/>
  <c r="G74" i="55" s="1"/>
  <c r="H48" i="81"/>
  <c r="H17" i="55" s="1"/>
  <c r="H74" i="55" s="1"/>
  <c r="G15" i="55"/>
  <c r="G72" i="55" s="1"/>
  <c r="H46" i="81"/>
  <c r="H15" i="55" s="1"/>
  <c r="H72" i="55" s="1"/>
  <c r="J201" i="53"/>
  <c r="J133" i="53"/>
  <c r="G21" i="55"/>
  <c r="G78" i="55" s="1"/>
  <c r="H52" i="81"/>
  <c r="H21" i="55" s="1"/>
  <c r="H78" i="55" s="1"/>
  <c r="G30" i="72"/>
  <c r="H84" i="81"/>
  <c r="H30" i="72" s="1"/>
  <c r="H59" i="81"/>
  <c r="H28" i="55" s="1"/>
  <c r="H85" i="55" s="1"/>
  <c r="G28" i="55"/>
  <c r="G85" i="55" s="1"/>
  <c r="H249" i="55"/>
  <c r="F136" i="55"/>
  <c r="H194" i="55" s="1"/>
  <c r="M64" i="22"/>
  <c r="N61" i="22" s="1"/>
  <c r="N57" i="22"/>
  <c r="N58" i="22"/>
  <c r="O55" i="22" s="1"/>
  <c r="O56" i="22" s="1"/>
  <c r="O50" i="22"/>
  <c r="O51" i="22" s="1"/>
  <c r="F37" i="22"/>
  <c r="G39" i="22"/>
  <c r="M37" i="22"/>
  <c r="C73" i="72" l="1"/>
  <c r="C74" i="72" s="1"/>
  <c r="E143" i="72" s="1"/>
  <c r="E159" i="72"/>
  <c r="Q49" i="85"/>
  <c r="E78" i="72"/>
  <c r="F161" i="72"/>
  <c r="D79" i="72"/>
  <c r="F145" i="72" s="1"/>
  <c r="R50" i="85"/>
  <c r="R48" i="85" s="1"/>
  <c r="I160" i="72"/>
  <c r="S46" i="85"/>
  <c r="B73" i="72"/>
  <c r="B74" i="72" s="1"/>
  <c r="D143" i="72" s="1"/>
  <c r="D159" i="72"/>
  <c r="J160" i="72"/>
  <c r="T46" i="85"/>
  <c r="Q47" i="85"/>
  <c r="F58" i="72"/>
  <c r="T4" i="85"/>
  <c r="J157" i="72"/>
  <c r="S4" i="85"/>
  <c r="I157" i="72"/>
  <c r="C65" i="72"/>
  <c r="C67" i="72" s="1"/>
  <c r="E156" i="72"/>
  <c r="P8" i="85"/>
  <c r="P5" i="85"/>
  <c r="R6" i="85"/>
  <c r="R10" i="85" s="1"/>
  <c r="Q10" i="85"/>
  <c r="Q7" i="85" s="1"/>
  <c r="R31" i="85"/>
  <c r="R35" i="85" s="1"/>
  <c r="H155" i="72"/>
  <c r="H54" i="72"/>
  <c r="G54" i="72"/>
  <c r="D35" i="72"/>
  <c r="F148" i="72" s="1"/>
  <c r="H141" i="53"/>
  <c r="I209" i="53"/>
  <c r="C61" i="72"/>
  <c r="P33" i="85"/>
  <c r="H154" i="72"/>
  <c r="O34" i="85"/>
  <c r="O32" i="85"/>
  <c r="H195" i="55"/>
  <c r="I231" i="53"/>
  <c r="I163" i="53"/>
  <c r="F58" i="55"/>
  <c r="F115" i="55" s="1"/>
  <c r="G69" i="83"/>
  <c r="G59" i="55"/>
  <c r="G116" i="55" s="1"/>
  <c r="H70" i="83"/>
  <c r="H59" i="55" s="1"/>
  <c r="H116" i="55" s="1"/>
  <c r="H56" i="53"/>
  <c r="H109" i="53" s="1"/>
  <c r="H125" i="83"/>
  <c r="I56" i="53" s="1"/>
  <c r="I109" i="53" s="1"/>
  <c r="G37" i="84"/>
  <c r="G65" i="84" s="1"/>
  <c r="H98" i="83"/>
  <c r="H37" i="84" s="1"/>
  <c r="H65" i="84" s="1"/>
  <c r="J231" i="53"/>
  <c r="J163" i="53"/>
  <c r="H159" i="55"/>
  <c r="J272" i="55"/>
  <c r="H278" i="55"/>
  <c r="F168" i="55"/>
  <c r="H227" i="55" s="1"/>
  <c r="G97" i="83"/>
  <c r="F36" i="84"/>
  <c r="F64" i="84" s="1"/>
  <c r="F32" i="84"/>
  <c r="G93" i="83"/>
  <c r="G92" i="83"/>
  <c r="F31" i="84"/>
  <c r="J224" i="53"/>
  <c r="J156" i="53"/>
  <c r="E167" i="55"/>
  <c r="G226" i="55" s="1"/>
  <c r="G277" i="55"/>
  <c r="H177" i="53"/>
  <c r="H242" i="53"/>
  <c r="G159" i="55"/>
  <c r="I218" i="55" s="1"/>
  <c r="I272" i="55"/>
  <c r="H121" i="83"/>
  <c r="I52" i="53" s="1"/>
  <c r="I105" i="53" s="1"/>
  <c r="H52" i="53"/>
  <c r="H105" i="53" s="1"/>
  <c r="I173" i="53" s="1"/>
  <c r="H53" i="53"/>
  <c r="H106" i="53" s="1"/>
  <c r="I174" i="53" s="1"/>
  <c r="H122" i="83"/>
  <c r="I53" i="53" s="1"/>
  <c r="I106" i="53" s="1"/>
  <c r="J174" i="53" s="1"/>
  <c r="F33" i="84"/>
  <c r="G94" i="83"/>
  <c r="I224" i="53"/>
  <c r="I156" i="53"/>
  <c r="H120" i="83"/>
  <c r="I51" i="53" s="1"/>
  <c r="I104" i="53" s="1"/>
  <c r="H51" i="53"/>
  <c r="H104" i="53" s="1"/>
  <c r="I172" i="53" s="1"/>
  <c r="I141" i="53"/>
  <c r="H210" i="53"/>
  <c r="H142" i="53"/>
  <c r="H21" i="53"/>
  <c r="H74" i="53" s="1"/>
  <c r="H104" i="81"/>
  <c r="I21" i="53" s="1"/>
  <c r="I74" i="53" s="1"/>
  <c r="H82" i="81"/>
  <c r="H28" i="72" s="1"/>
  <c r="H52" i="72" s="1"/>
  <c r="H179" i="55"/>
  <c r="E167" i="72"/>
  <c r="G116" i="53"/>
  <c r="H248" i="53" s="1"/>
  <c r="C156" i="29"/>
  <c r="E229" i="55"/>
  <c r="F37" i="61" s="1"/>
  <c r="F164" i="72"/>
  <c r="E32" i="72"/>
  <c r="C126" i="29"/>
  <c r="C36" i="29"/>
  <c r="H106" i="81"/>
  <c r="I23" i="53" s="1"/>
  <c r="I76" i="53" s="1"/>
  <c r="H23" i="53"/>
  <c r="H76" i="53" s="1"/>
  <c r="H144" i="53"/>
  <c r="H212" i="53"/>
  <c r="G247" i="55"/>
  <c r="E134" i="55"/>
  <c r="G192" i="55" s="1"/>
  <c r="F25" i="55"/>
  <c r="F82" i="55" s="1"/>
  <c r="G56" i="81"/>
  <c r="G81" i="81"/>
  <c r="F27" i="72"/>
  <c r="F51" i="72" s="1"/>
  <c r="G242" i="55"/>
  <c r="E129" i="55"/>
  <c r="G187" i="55" s="1"/>
  <c r="F20" i="55"/>
  <c r="F77" i="55" s="1"/>
  <c r="G51" i="81"/>
  <c r="F16" i="61"/>
  <c r="G7" i="61" s="1"/>
  <c r="G61" i="81"/>
  <c r="F30" i="55"/>
  <c r="F87" i="55" s="1"/>
  <c r="E139" i="55"/>
  <c r="G197" i="55" s="1"/>
  <c r="G252" i="55"/>
  <c r="F50" i="61"/>
  <c r="C141" i="29"/>
  <c r="G119" i="53"/>
  <c r="H252" i="53" s="1"/>
  <c r="G155" i="55"/>
  <c r="I214" i="55" s="1"/>
  <c r="I268" i="55"/>
  <c r="H155" i="55"/>
  <c r="J214" i="55" s="1"/>
  <c r="J268" i="55"/>
  <c r="I267" i="55"/>
  <c r="G154" i="55"/>
  <c r="I213" i="55" s="1"/>
  <c r="H154" i="55"/>
  <c r="J213" i="55" s="1"/>
  <c r="J267" i="55"/>
  <c r="J266" i="55"/>
  <c r="H153" i="55"/>
  <c r="G153" i="55"/>
  <c r="I212" i="55" s="1"/>
  <c r="I266" i="55"/>
  <c r="E53" i="61"/>
  <c r="H145" i="55"/>
  <c r="J258" i="55"/>
  <c r="G145" i="55"/>
  <c r="I204" i="55" s="1"/>
  <c r="I258" i="55"/>
  <c r="F191" i="53"/>
  <c r="G35" i="61" s="1"/>
  <c r="G114" i="53"/>
  <c r="H182" i="53" s="1"/>
  <c r="B22" i="21"/>
  <c r="C167" i="29"/>
  <c r="C152" i="29"/>
  <c r="C122" i="29"/>
  <c r="C32" i="29"/>
  <c r="J248" i="55"/>
  <c r="H135" i="55"/>
  <c r="I248" i="55"/>
  <c r="G135" i="55"/>
  <c r="I193" i="55" s="1"/>
  <c r="G15" i="61"/>
  <c r="H6" i="61" s="1"/>
  <c r="G260" i="53" s="1"/>
  <c r="H161" i="29"/>
  <c r="H146" i="29"/>
  <c r="H24" i="68"/>
  <c r="H176" i="29"/>
  <c r="H131" i="29"/>
  <c r="G182" i="53"/>
  <c r="G246" i="53"/>
  <c r="G255" i="53"/>
  <c r="H60" i="81"/>
  <c r="H29" i="55" s="1"/>
  <c r="H86" i="55" s="1"/>
  <c r="G29" i="55"/>
  <c r="G86" i="55" s="1"/>
  <c r="C12" i="21"/>
  <c r="F35" i="61"/>
  <c r="G254" i="53"/>
  <c r="H150" i="53"/>
  <c r="H218" i="53"/>
  <c r="G31" i="72"/>
  <c r="G55" i="72" s="1"/>
  <c r="G71" i="72" s="1"/>
  <c r="I158" i="72" s="1"/>
  <c r="H85" i="81"/>
  <c r="H31" i="72" s="1"/>
  <c r="H55" i="72" s="1"/>
  <c r="H71" i="72" s="1"/>
  <c r="J158" i="72" s="1"/>
  <c r="J175" i="53"/>
  <c r="J240" i="53"/>
  <c r="F138" i="55"/>
  <c r="H196" i="55" s="1"/>
  <c r="H251" i="55"/>
  <c r="C60" i="29"/>
  <c r="B96" i="22"/>
  <c r="D96" i="29"/>
  <c r="D11" i="29"/>
  <c r="D12" i="84"/>
  <c r="D42" i="84"/>
  <c r="E165" i="84"/>
  <c r="E166" i="84"/>
  <c r="H95" i="83"/>
  <c r="H34" i="84" s="1"/>
  <c r="H62" i="84" s="1"/>
  <c r="G34" i="84"/>
  <c r="G62" i="84" s="1"/>
  <c r="E46" i="22"/>
  <c r="E65" i="22"/>
  <c r="H144" i="55"/>
  <c r="J257" i="55"/>
  <c r="G40" i="61"/>
  <c r="D13" i="21"/>
  <c r="E52" i="84"/>
  <c r="E39" i="84"/>
  <c r="J217" i="55"/>
  <c r="G168" i="84"/>
  <c r="G154" i="84"/>
  <c r="G159" i="84" s="1"/>
  <c r="G169" i="84"/>
  <c r="L44" i="22"/>
  <c r="L65" i="22"/>
  <c r="C13" i="69" s="1"/>
  <c r="I175" i="53"/>
  <c r="I240" i="53"/>
  <c r="J143" i="53"/>
  <c r="J211" i="53"/>
  <c r="F124" i="84"/>
  <c r="F141" i="84" s="1"/>
  <c r="F126" i="84"/>
  <c r="F143" i="84" s="1"/>
  <c r="H156" i="84" s="1"/>
  <c r="H167" i="84"/>
  <c r="H163" i="84"/>
  <c r="F125" i="84"/>
  <c r="F142" i="84" s="1"/>
  <c r="H155" i="84" s="1"/>
  <c r="H164" i="84"/>
  <c r="H110" i="83"/>
  <c r="I41" i="53" s="1"/>
  <c r="I94" i="53" s="1"/>
  <c r="H41" i="53"/>
  <c r="H94" i="53" s="1"/>
  <c r="G48" i="61"/>
  <c r="E140" i="55"/>
  <c r="G253" i="55"/>
  <c r="E100" i="55"/>
  <c r="E61" i="55"/>
  <c r="G115" i="53"/>
  <c r="D65" i="55"/>
  <c r="F200" i="55" s="1"/>
  <c r="D10" i="55"/>
  <c r="H67" i="83"/>
  <c r="H56" i="55" s="1"/>
  <c r="H113" i="55" s="1"/>
  <c r="G56" i="55"/>
  <c r="G113" i="55" s="1"/>
  <c r="E16" i="61"/>
  <c r="E50" i="61"/>
  <c r="H161" i="55"/>
  <c r="J274" i="55"/>
  <c r="F21" i="84"/>
  <c r="G82" i="83"/>
  <c r="G188" i="53"/>
  <c r="G252" i="53"/>
  <c r="G187" i="53"/>
  <c r="G251" i="53"/>
  <c r="I257" i="55"/>
  <c r="G144" i="55"/>
  <c r="I203" i="55" s="1"/>
  <c r="G118" i="53"/>
  <c r="F31" i="55"/>
  <c r="F88" i="55" s="1"/>
  <c r="G62" i="81"/>
  <c r="G54" i="83"/>
  <c r="F43" i="55"/>
  <c r="G184" i="53"/>
  <c r="G248" i="53"/>
  <c r="D172" i="29"/>
  <c r="D37" i="29"/>
  <c r="D157" i="29"/>
  <c r="D127" i="29"/>
  <c r="D142" i="29"/>
  <c r="E33" i="55"/>
  <c r="D140" i="55"/>
  <c r="F253" i="55"/>
  <c r="H275" i="55"/>
  <c r="F165" i="55"/>
  <c r="H224" i="55" s="1"/>
  <c r="I211" i="53"/>
  <c r="I143" i="53"/>
  <c r="G247" i="53"/>
  <c r="G183" i="53"/>
  <c r="D152" i="55"/>
  <c r="F211" i="55" s="1"/>
  <c r="F265" i="55"/>
  <c r="I274" i="55"/>
  <c r="G161" i="55"/>
  <c r="I220" i="55" s="1"/>
  <c r="E261" i="53"/>
  <c r="E263" i="53" s="1"/>
  <c r="G6" i="61"/>
  <c r="F260" i="53" s="1"/>
  <c r="F45" i="22"/>
  <c r="E67" i="22"/>
  <c r="H230" i="53"/>
  <c r="H162" i="53"/>
  <c r="E18" i="61"/>
  <c r="H32" i="21"/>
  <c r="H36" i="21" s="1"/>
  <c r="H112" i="81"/>
  <c r="I29" i="53" s="1"/>
  <c r="I82" i="53" s="1"/>
  <c r="H29" i="53"/>
  <c r="H82" i="53" s="1"/>
  <c r="I238" i="55"/>
  <c r="G125" i="55"/>
  <c r="I183" i="55" s="1"/>
  <c r="J238" i="55"/>
  <c r="H125" i="55"/>
  <c r="J190" i="55"/>
  <c r="G24" i="72"/>
  <c r="G48" i="72" s="1"/>
  <c r="G64" i="72" s="1"/>
  <c r="H78" i="81"/>
  <c r="H24" i="72" s="1"/>
  <c r="H48" i="72" s="1"/>
  <c r="H64" i="72" s="1"/>
  <c r="F131" i="55"/>
  <c r="H189" i="55" s="1"/>
  <c r="H244" i="55"/>
  <c r="H53" i="81"/>
  <c r="H22" i="55" s="1"/>
  <c r="H79" i="55" s="1"/>
  <c r="G22" i="55"/>
  <c r="G79" i="55" s="1"/>
  <c r="I130" i="53"/>
  <c r="I198" i="53"/>
  <c r="J130" i="53"/>
  <c r="J198" i="53"/>
  <c r="G137" i="55"/>
  <c r="I195" i="55" s="1"/>
  <c r="I250" i="55"/>
  <c r="H137" i="55"/>
  <c r="J250" i="55"/>
  <c r="J236" i="55"/>
  <c r="H123" i="55"/>
  <c r="G68" i="55"/>
  <c r="H124" i="55"/>
  <c r="J237" i="55"/>
  <c r="I236" i="55"/>
  <c r="G123" i="55"/>
  <c r="I181" i="55" s="1"/>
  <c r="I235" i="55"/>
  <c r="G122" i="55"/>
  <c r="I180" i="55" s="1"/>
  <c r="H121" i="55"/>
  <c r="J234" i="55"/>
  <c r="H37" i="72"/>
  <c r="H233" i="55"/>
  <c r="F120" i="55"/>
  <c r="H68" i="55"/>
  <c r="J243" i="55"/>
  <c r="H130" i="55"/>
  <c r="I237" i="55"/>
  <c r="G124" i="55"/>
  <c r="I182" i="55" s="1"/>
  <c r="J239" i="55"/>
  <c r="H126" i="55"/>
  <c r="H133" i="55"/>
  <c r="J246" i="55"/>
  <c r="H128" i="55"/>
  <c r="J241" i="55"/>
  <c r="J235" i="55"/>
  <c r="H122" i="55"/>
  <c r="I234" i="55"/>
  <c r="G121" i="55"/>
  <c r="I179" i="55" s="1"/>
  <c r="G37" i="72"/>
  <c r="G178" i="55"/>
  <c r="H136" i="55"/>
  <c r="J249" i="55"/>
  <c r="J240" i="55"/>
  <c r="H127" i="55"/>
  <c r="I243" i="55"/>
  <c r="G130" i="55"/>
  <c r="I188" i="55" s="1"/>
  <c r="G126" i="55"/>
  <c r="I184" i="55" s="1"/>
  <c r="I239" i="55"/>
  <c r="I246" i="55"/>
  <c r="G133" i="55"/>
  <c r="I191" i="55" s="1"/>
  <c r="G128" i="55"/>
  <c r="I186" i="55" s="1"/>
  <c r="I241" i="55"/>
  <c r="I249" i="55"/>
  <c r="G136" i="55"/>
  <c r="I194" i="55" s="1"/>
  <c r="I240" i="55"/>
  <c r="G127" i="55"/>
  <c r="I185" i="55" s="1"/>
  <c r="N62" i="22"/>
  <c r="N63" i="22" s="1"/>
  <c r="O57" i="22"/>
  <c r="O58" i="22"/>
  <c r="P55" i="22" s="1"/>
  <c r="P56" i="22" s="1"/>
  <c r="O52" i="22"/>
  <c r="P49" i="22" s="1"/>
  <c r="P50" i="22" s="1"/>
  <c r="H39" i="22"/>
  <c r="M38" i="22"/>
  <c r="F40" i="22"/>
  <c r="G58" i="72" l="1"/>
  <c r="H58" i="72"/>
  <c r="R47" i="85"/>
  <c r="E79" i="72"/>
  <c r="G145" i="72" s="1"/>
  <c r="G161" i="72"/>
  <c r="R49" i="85"/>
  <c r="F78" i="72"/>
  <c r="C12" i="72"/>
  <c r="E165" i="72" s="1"/>
  <c r="T50" i="85"/>
  <c r="T48" i="85" s="1"/>
  <c r="S50" i="85"/>
  <c r="S48" i="85" s="1"/>
  <c r="B75" i="72"/>
  <c r="D144" i="72" s="1"/>
  <c r="C75" i="72"/>
  <c r="E144" i="72" s="1"/>
  <c r="D65" i="72"/>
  <c r="D67" i="72" s="1"/>
  <c r="F156" i="72"/>
  <c r="P9" i="85"/>
  <c r="D72" i="72"/>
  <c r="E142" i="72"/>
  <c r="S6" i="85"/>
  <c r="R7" i="85"/>
  <c r="R5" i="85"/>
  <c r="R8" i="85"/>
  <c r="T6" i="85"/>
  <c r="Q5" i="85"/>
  <c r="Q8" i="85"/>
  <c r="J155" i="72"/>
  <c r="T31" i="85"/>
  <c r="T35" i="85" s="1"/>
  <c r="I155" i="72"/>
  <c r="S31" i="85"/>
  <c r="S35" i="85" s="1"/>
  <c r="F167" i="72"/>
  <c r="D146" i="72"/>
  <c r="E35" i="72"/>
  <c r="G167" i="72" s="1"/>
  <c r="D168" i="72"/>
  <c r="B12" i="72"/>
  <c r="D142" i="72"/>
  <c r="D169" i="72"/>
  <c r="D61" i="72"/>
  <c r="E141" i="72"/>
  <c r="E168" i="72"/>
  <c r="E169" i="72"/>
  <c r="J154" i="72"/>
  <c r="E146" i="72"/>
  <c r="Q33" i="85"/>
  <c r="P32" i="85"/>
  <c r="P34" i="85"/>
  <c r="I154" i="72"/>
  <c r="J172" i="53"/>
  <c r="J173" i="53"/>
  <c r="I177" i="53"/>
  <c r="I242" i="53"/>
  <c r="F167" i="55"/>
  <c r="H226" i="55" s="1"/>
  <c r="H277" i="55"/>
  <c r="G33" i="84"/>
  <c r="H94" i="83"/>
  <c r="H33" i="84" s="1"/>
  <c r="G32" i="84"/>
  <c r="H93" i="83"/>
  <c r="H32" i="84" s="1"/>
  <c r="J242" i="53"/>
  <c r="J177" i="53"/>
  <c r="J278" i="55"/>
  <c r="H168" i="55"/>
  <c r="G58" i="55"/>
  <c r="G115" i="55" s="1"/>
  <c r="H69" i="83"/>
  <c r="H58" i="55" s="1"/>
  <c r="H115" i="55" s="1"/>
  <c r="G31" i="84"/>
  <c r="H92" i="83"/>
  <c r="H31" i="84" s="1"/>
  <c r="G36" i="84"/>
  <c r="G64" i="84" s="1"/>
  <c r="H97" i="83"/>
  <c r="H36" i="84" s="1"/>
  <c r="H64" i="84" s="1"/>
  <c r="J218" i="55"/>
  <c r="I278" i="55"/>
  <c r="G168" i="55"/>
  <c r="I227" i="55" s="1"/>
  <c r="J142" i="53"/>
  <c r="J210" i="53"/>
  <c r="I210" i="53"/>
  <c r="I142" i="53"/>
  <c r="H184" i="53"/>
  <c r="C8" i="21"/>
  <c r="D32" i="29" s="1"/>
  <c r="F32" i="72"/>
  <c r="G164" i="72"/>
  <c r="F134" i="55"/>
  <c r="H192" i="55" s="1"/>
  <c r="H247" i="55"/>
  <c r="G27" i="72"/>
  <c r="G51" i="72" s="1"/>
  <c r="H81" i="81"/>
  <c r="H27" i="72" s="1"/>
  <c r="H51" i="72" s="1"/>
  <c r="I212" i="53"/>
  <c r="I144" i="53"/>
  <c r="H56" i="81"/>
  <c r="H25" i="55" s="1"/>
  <c r="H82" i="55" s="1"/>
  <c r="G25" i="55"/>
  <c r="G82" i="55" s="1"/>
  <c r="J144" i="53"/>
  <c r="J212" i="53"/>
  <c r="G20" i="55"/>
  <c r="G77" i="55" s="1"/>
  <c r="H51" i="81"/>
  <c r="H20" i="55" s="1"/>
  <c r="H77" i="55" s="1"/>
  <c r="F129" i="55"/>
  <c r="H187" i="55" s="1"/>
  <c r="H242" i="55"/>
  <c r="G284" i="55"/>
  <c r="E290" i="55"/>
  <c r="H188" i="53"/>
  <c r="F139" i="55"/>
  <c r="H197" i="55" s="1"/>
  <c r="H252" i="55"/>
  <c r="H61" i="81"/>
  <c r="H30" i="55" s="1"/>
  <c r="H87" i="55" s="1"/>
  <c r="G30" i="55"/>
  <c r="G87" i="55" s="1"/>
  <c r="D12" i="21"/>
  <c r="E141" i="29" s="1"/>
  <c r="H246" i="53"/>
  <c r="J212" i="55"/>
  <c r="F53" i="61"/>
  <c r="J204" i="55"/>
  <c r="H254" i="53"/>
  <c r="J193" i="55"/>
  <c r="F33" i="55"/>
  <c r="F65" i="55" s="1"/>
  <c r="H200" i="55" s="1"/>
  <c r="F261" i="53"/>
  <c r="F263" i="53" s="1"/>
  <c r="D22" i="21" s="1"/>
  <c r="H255" i="53"/>
  <c r="J180" i="55"/>
  <c r="G285" i="55"/>
  <c r="H48" i="61"/>
  <c r="H15" i="61"/>
  <c r="I6" i="61" s="1"/>
  <c r="H260" i="53" s="1"/>
  <c r="G191" i="53"/>
  <c r="H35" i="61" s="1"/>
  <c r="J218" i="53"/>
  <c r="J150" i="53"/>
  <c r="I118" i="53"/>
  <c r="I114" i="53"/>
  <c r="H154" i="84"/>
  <c r="H159" i="84" s="1"/>
  <c r="H169" i="84"/>
  <c r="H168" i="84"/>
  <c r="E12" i="84"/>
  <c r="E42" i="84"/>
  <c r="I251" i="55"/>
  <c r="G138" i="55"/>
  <c r="I196" i="55" s="1"/>
  <c r="I161" i="29"/>
  <c r="I176" i="29"/>
  <c r="I131" i="29"/>
  <c r="I24" i="68"/>
  <c r="I146" i="29"/>
  <c r="C22" i="21"/>
  <c r="E275" i="53"/>
  <c r="E277" i="53" s="1"/>
  <c r="F198" i="55"/>
  <c r="F229" i="55" s="1"/>
  <c r="F285" i="55"/>
  <c r="F284" i="55"/>
  <c r="H253" i="55"/>
  <c r="F140" i="55"/>
  <c r="H198" i="55" s="1"/>
  <c r="I119" i="53"/>
  <c r="F52" i="84"/>
  <c r="F39" i="84"/>
  <c r="D290" i="55"/>
  <c r="D292" i="55" s="1"/>
  <c r="F7" i="61"/>
  <c r="H114" i="53"/>
  <c r="I162" i="53"/>
  <c r="I230" i="53"/>
  <c r="H40" i="61"/>
  <c r="E13" i="21"/>
  <c r="G126" i="84"/>
  <c r="G143" i="84" s="1"/>
  <c r="I156" i="84" s="1"/>
  <c r="I167" i="84"/>
  <c r="G124" i="84"/>
  <c r="G141" i="84" s="1"/>
  <c r="I164" i="84"/>
  <c r="G125" i="84"/>
  <c r="G142" i="84" s="1"/>
  <c r="I155" i="84" s="1"/>
  <c r="I163" i="84"/>
  <c r="H119" i="53"/>
  <c r="J251" i="55"/>
  <c r="H138" i="55"/>
  <c r="H62" i="81"/>
  <c r="H31" i="55" s="1"/>
  <c r="H88" i="55" s="1"/>
  <c r="G31" i="55"/>
  <c r="H82" i="83"/>
  <c r="H21" i="84" s="1"/>
  <c r="G21" i="84"/>
  <c r="F282" i="55"/>
  <c r="F283" i="55"/>
  <c r="E152" i="55"/>
  <c r="G211" i="55" s="1"/>
  <c r="G265" i="55"/>
  <c r="I115" i="53"/>
  <c r="F43" i="22"/>
  <c r="E68" i="22"/>
  <c r="E65" i="55"/>
  <c r="G200" i="55" s="1"/>
  <c r="E10" i="55"/>
  <c r="F100" i="55"/>
  <c r="F61" i="55"/>
  <c r="H251" i="53"/>
  <c r="H187" i="53"/>
  <c r="G165" i="55"/>
  <c r="I224" i="55" s="1"/>
  <c r="I275" i="55"/>
  <c r="H247" i="53"/>
  <c r="H183" i="53"/>
  <c r="G198" i="55"/>
  <c r="J162" i="53"/>
  <c r="J230" i="53"/>
  <c r="L46" i="22"/>
  <c r="L66" i="22"/>
  <c r="L45" i="22"/>
  <c r="E157" i="29"/>
  <c r="E172" i="29"/>
  <c r="E142" i="29"/>
  <c r="E37" i="29"/>
  <c r="E127" i="29"/>
  <c r="J203" i="55"/>
  <c r="H126" i="84"/>
  <c r="H143" i="84" s="1"/>
  <c r="J163" i="84"/>
  <c r="J167" i="84"/>
  <c r="H125" i="84"/>
  <c r="H142" i="84" s="1"/>
  <c r="J164" i="84"/>
  <c r="H124" i="84"/>
  <c r="H141" i="84" s="1"/>
  <c r="F165" i="84"/>
  <c r="F166" i="84"/>
  <c r="I116" i="53"/>
  <c r="I150" i="53"/>
  <c r="I218" i="53"/>
  <c r="H116" i="53"/>
  <c r="H118" i="53"/>
  <c r="D175" i="84"/>
  <c r="D177" i="84" s="1"/>
  <c r="F9" i="61"/>
  <c r="E174" i="84" s="1"/>
  <c r="G45" i="22"/>
  <c r="F67" i="22"/>
  <c r="H54" i="83"/>
  <c r="H43" i="55" s="1"/>
  <c r="G43" i="55"/>
  <c r="H115" i="53"/>
  <c r="J220" i="55"/>
  <c r="H165" i="55"/>
  <c r="J224" i="55" s="1"/>
  <c r="J275" i="55"/>
  <c r="F18" i="61"/>
  <c r="D171" i="29"/>
  <c r="D36" i="29"/>
  <c r="D126" i="29"/>
  <c r="D141" i="29"/>
  <c r="D156" i="29"/>
  <c r="J183" i="55"/>
  <c r="J195" i="55"/>
  <c r="J185" i="55"/>
  <c r="H131" i="55"/>
  <c r="J244" i="55"/>
  <c r="G131" i="55"/>
  <c r="I189" i="55" s="1"/>
  <c r="I244" i="55"/>
  <c r="F289" i="55"/>
  <c r="J191" i="55"/>
  <c r="J188" i="55"/>
  <c r="J184" i="55"/>
  <c r="H120" i="55"/>
  <c r="J233" i="55"/>
  <c r="J179" i="55"/>
  <c r="G120" i="55"/>
  <c r="I233" i="55"/>
  <c r="J194" i="55"/>
  <c r="J186" i="55"/>
  <c r="H178" i="55"/>
  <c r="J182" i="55"/>
  <c r="J181" i="55"/>
  <c r="N64" i="22"/>
  <c r="O61" i="22" s="1"/>
  <c r="P52" i="22"/>
  <c r="Q49" i="22" s="1"/>
  <c r="Q50" i="22" s="1"/>
  <c r="Q52" i="22" s="1"/>
  <c r="P51" i="22"/>
  <c r="P57" i="22"/>
  <c r="P58" i="22"/>
  <c r="Q55" i="22" s="1"/>
  <c r="Q56" i="22" s="1"/>
  <c r="M39" i="22"/>
  <c r="M40" i="22"/>
  <c r="I39" i="22"/>
  <c r="G37" i="22"/>
  <c r="D12" i="72" l="1"/>
  <c r="F165" i="72" s="1"/>
  <c r="T47" i="85"/>
  <c r="F142" i="72"/>
  <c r="S47" i="85"/>
  <c r="E166" i="72"/>
  <c r="F17" i="61" s="1"/>
  <c r="E175" i="72" s="1"/>
  <c r="T49" i="85"/>
  <c r="H78" i="72"/>
  <c r="S49" i="85"/>
  <c r="G78" i="72"/>
  <c r="D73" i="72"/>
  <c r="D74" i="72" s="1"/>
  <c r="F143" i="72" s="1"/>
  <c r="F159" i="72"/>
  <c r="H161" i="72"/>
  <c r="F79" i="72"/>
  <c r="H145" i="72" s="1"/>
  <c r="E65" i="72"/>
  <c r="E67" i="72" s="1"/>
  <c r="G156" i="72"/>
  <c r="Q9" i="85"/>
  <c r="E72" i="72"/>
  <c r="R9" i="85"/>
  <c r="F72" i="72"/>
  <c r="T10" i="85"/>
  <c r="T7" i="85" s="1"/>
  <c r="S10" i="85"/>
  <c r="S7" i="85" s="1"/>
  <c r="D150" i="72"/>
  <c r="B9" i="21" s="1"/>
  <c r="C138" i="29" s="1"/>
  <c r="C144" i="29" s="1"/>
  <c r="G148" i="72"/>
  <c r="H164" i="72"/>
  <c r="D165" i="72"/>
  <c r="D166" i="72"/>
  <c r="E150" i="72"/>
  <c r="C9" i="21" s="1"/>
  <c r="C15" i="21" s="1"/>
  <c r="D6" i="68" s="1"/>
  <c r="E61" i="72"/>
  <c r="F141" i="72"/>
  <c r="F168" i="72"/>
  <c r="F169" i="72"/>
  <c r="Q32" i="85"/>
  <c r="F146" i="72"/>
  <c r="R33" i="85"/>
  <c r="Q34" i="85"/>
  <c r="G167" i="55"/>
  <c r="I226" i="55" s="1"/>
  <c r="I277" i="55"/>
  <c r="J227" i="55"/>
  <c r="H167" i="55"/>
  <c r="J226" i="55" s="1"/>
  <c r="J277" i="55"/>
  <c r="D152" i="29"/>
  <c r="D167" i="29"/>
  <c r="D137" i="29"/>
  <c r="D122" i="29"/>
  <c r="F35" i="72"/>
  <c r="H167" i="72" s="1"/>
  <c r="H32" i="72"/>
  <c r="G32" i="72"/>
  <c r="I247" i="55"/>
  <c r="G134" i="55"/>
  <c r="I192" i="55" s="1"/>
  <c r="H134" i="55"/>
  <c r="J247" i="55"/>
  <c r="H191" i="53"/>
  <c r="I35" i="61" s="1"/>
  <c r="H129" i="55"/>
  <c r="J242" i="55"/>
  <c r="J196" i="55"/>
  <c r="G129" i="55"/>
  <c r="I187" i="55" s="1"/>
  <c r="I242" i="55"/>
  <c r="H284" i="55"/>
  <c r="E126" i="29"/>
  <c r="G139" i="55"/>
  <c r="I197" i="55" s="1"/>
  <c r="I252" i="55"/>
  <c r="J252" i="55"/>
  <c r="H139" i="55"/>
  <c r="E36" i="29"/>
  <c r="E156" i="29"/>
  <c r="Q57" i="22"/>
  <c r="E171" i="29"/>
  <c r="H33" i="55"/>
  <c r="H10" i="55" s="1"/>
  <c r="J282" i="55" s="1"/>
  <c r="F10" i="55"/>
  <c r="H282" i="55" s="1"/>
  <c r="G18" i="61"/>
  <c r="F175" i="84" s="1"/>
  <c r="I48" i="61"/>
  <c r="H285" i="55"/>
  <c r="G261" i="53"/>
  <c r="G263" i="53" s="1"/>
  <c r="I15" i="61"/>
  <c r="H261" i="53" s="1"/>
  <c r="H263" i="53" s="1"/>
  <c r="E12" i="21"/>
  <c r="G229" i="55"/>
  <c r="H37" i="61" s="1"/>
  <c r="J154" i="84"/>
  <c r="J169" i="84"/>
  <c r="J168" i="84"/>
  <c r="I187" i="53"/>
  <c r="I251" i="53"/>
  <c r="F157" i="29"/>
  <c r="F142" i="29"/>
  <c r="F127" i="29"/>
  <c r="F172" i="29"/>
  <c r="F37" i="29"/>
  <c r="E289" i="55"/>
  <c r="E292" i="55" s="1"/>
  <c r="F13" i="21"/>
  <c r="I40" i="61"/>
  <c r="D186" i="84"/>
  <c r="D188" i="84" s="1"/>
  <c r="B23" i="21"/>
  <c r="J156" i="84"/>
  <c r="C97" i="22"/>
  <c r="C42" i="21"/>
  <c r="C14" i="69"/>
  <c r="C15" i="69" s="1"/>
  <c r="G88" i="55"/>
  <c r="G33" i="55"/>
  <c r="E175" i="84"/>
  <c r="E177" i="84" s="1"/>
  <c r="G9" i="61"/>
  <c r="I247" i="53"/>
  <c r="I183" i="53"/>
  <c r="H45" i="22"/>
  <c r="G67" i="22"/>
  <c r="I248" i="53"/>
  <c r="I184" i="53"/>
  <c r="J155" i="84"/>
  <c r="M43" i="22"/>
  <c r="L68" i="22"/>
  <c r="G282" i="55"/>
  <c r="G283" i="55"/>
  <c r="J183" i="53"/>
  <c r="J247" i="53"/>
  <c r="G16" i="61"/>
  <c r="H140" i="55"/>
  <c r="J253" i="55"/>
  <c r="I188" i="53"/>
  <c r="I252" i="53"/>
  <c r="I154" i="84"/>
  <c r="I159" i="84" s="1"/>
  <c r="I169" i="84"/>
  <c r="I168" i="84"/>
  <c r="D302" i="55"/>
  <c r="D305" i="55" s="1"/>
  <c r="D306" i="55" s="1"/>
  <c r="B18" i="21"/>
  <c r="G37" i="61"/>
  <c r="D8" i="21"/>
  <c r="G166" i="84"/>
  <c r="G165" i="84"/>
  <c r="J246" i="53"/>
  <c r="J182" i="53"/>
  <c r="J254" i="53"/>
  <c r="J255" i="53"/>
  <c r="H100" i="55"/>
  <c r="H61" i="55"/>
  <c r="L67" i="22"/>
  <c r="H52" i="84"/>
  <c r="H39" i="84"/>
  <c r="J248" i="53"/>
  <c r="J184" i="53"/>
  <c r="F152" i="55"/>
  <c r="H211" i="55" s="1"/>
  <c r="H229" i="55" s="1"/>
  <c r="H265" i="55"/>
  <c r="F46" i="22"/>
  <c r="F65" i="22"/>
  <c r="J252" i="53"/>
  <c r="J188" i="53"/>
  <c r="F275" i="53"/>
  <c r="F277" i="53" s="1"/>
  <c r="G100" i="55"/>
  <c r="G61" i="55"/>
  <c r="G53" i="61"/>
  <c r="G52" i="84"/>
  <c r="G39" i="84"/>
  <c r="I182" i="53"/>
  <c r="I246" i="53"/>
  <c r="I254" i="53"/>
  <c r="F12" i="84"/>
  <c r="F42" i="84"/>
  <c r="J251" i="53"/>
  <c r="J187" i="53"/>
  <c r="G50" i="61"/>
  <c r="I255" i="53"/>
  <c r="J189" i="55"/>
  <c r="I178" i="55"/>
  <c r="J178" i="55"/>
  <c r="O62" i="22"/>
  <c r="O63" i="22" s="1"/>
  <c r="Q51" i="22"/>
  <c r="Q58" i="22"/>
  <c r="G40" i="22"/>
  <c r="N37" i="22"/>
  <c r="F51" i="61" l="1"/>
  <c r="F55" i="61" s="1"/>
  <c r="C25" i="69" s="1"/>
  <c r="F166" i="72"/>
  <c r="G51" i="61" s="1"/>
  <c r="G55" i="61" s="1"/>
  <c r="D25" i="69" s="1"/>
  <c r="E12" i="72"/>
  <c r="G166" i="72" s="1"/>
  <c r="G142" i="72"/>
  <c r="E73" i="72"/>
  <c r="E74" i="72" s="1"/>
  <c r="G143" i="72" s="1"/>
  <c r="G159" i="72"/>
  <c r="G79" i="72"/>
  <c r="I145" i="72" s="1"/>
  <c r="I161" i="72"/>
  <c r="F73" i="72"/>
  <c r="F74" i="72" s="1"/>
  <c r="H143" i="72" s="1"/>
  <c r="H159" i="72"/>
  <c r="J161" i="72"/>
  <c r="H79" i="72"/>
  <c r="J145" i="72" s="1"/>
  <c r="F65" i="72"/>
  <c r="F67" i="72" s="1"/>
  <c r="H156" i="72"/>
  <c r="D75" i="72"/>
  <c r="F144" i="72" s="1"/>
  <c r="F150" i="72" s="1"/>
  <c r="G38" i="61" s="1"/>
  <c r="G42" i="61" s="1"/>
  <c r="D9" i="69" s="1"/>
  <c r="S8" i="85"/>
  <c r="S5" i="85"/>
  <c r="T8" i="85"/>
  <c r="T5" i="85"/>
  <c r="C153" i="29"/>
  <c r="C159" i="29" s="1"/>
  <c r="C168" i="29"/>
  <c r="C174" i="29" s="1"/>
  <c r="C33" i="29"/>
  <c r="C39" i="29" s="1"/>
  <c r="C123" i="29"/>
  <c r="C129" i="29" s="1"/>
  <c r="B15" i="21"/>
  <c r="C6" i="68" s="1"/>
  <c r="E38" i="61"/>
  <c r="E42" i="61" s="1"/>
  <c r="B9" i="69" s="1"/>
  <c r="C31" i="68" s="1"/>
  <c r="E51" i="61"/>
  <c r="E55" i="61" s="1"/>
  <c r="B25" i="69" s="1"/>
  <c r="C12" i="68" s="1"/>
  <c r="E17" i="61"/>
  <c r="I164" i="72"/>
  <c r="F21" i="61"/>
  <c r="C10" i="69" s="1"/>
  <c r="G8" i="61"/>
  <c r="F174" i="72" s="1"/>
  <c r="F38" i="61"/>
  <c r="F42" i="61" s="1"/>
  <c r="C9" i="69" s="1"/>
  <c r="F61" i="72"/>
  <c r="G141" i="72"/>
  <c r="G168" i="72"/>
  <c r="G169" i="72"/>
  <c r="H9" i="61"/>
  <c r="G174" i="84" s="1"/>
  <c r="R32" i="85"/>
  <c r="G146" i="72"/>
  <c r="T33" i="85"/>
  <c r="R34" i="85"/>
  <c r="D168" i="29"/>
  <c r="D174" i="29" s="1"/>
  <c r="D138" i="29"/>
  <c r="D144" i="29" s="1"/>
  <c r="D153" i="29"/>
  <c r="D159" i="29" s="1"/>
  <c r="D123" i="29"/>
  <c r="D129" i="29" s="1"/>
  <c r="D33" i="29"/>
  <c r="D39" i="29" s="1"/>
  <c r="S33" i="85"/>
  <c r="H148" i="72"/>
  <c r="J164" i="72"/>
  <c r="F12" i="21"/>
  <c r="G126" i="29" s="1"/>
  <c r="J187" i="55"/>
  <c r="G35" i="72"/>
  <c r="I148" i="72" s="1"/>
  <c r="H35" i="72"/>
  <c r="J148" i="72" s="1"/>
  <c r="J192" i="55"/>
  <c r="J283" i="55"/>
  <c r="J284" i="55"/>
  <c r="J285" i="55"/>
  <c r="H65" i="55"/>
  <c r="J200" i="55" s="1"/>
  <c r="J197" i="55"/>
  <c r="G275" i="53"/>
  <c r="G277" i="53" s="1"/>
  <c r="E22" i="21"/>
  <c r="H283" i="55"/>
  <c r="I16" i="61" s="1"/>
  <c r="J7" i="61" s="1"/>
  <c r="H18" i="61"/>
  <c r="I9" i="61" s="1"/>
  <c r="H174" i="84" s="1"/>
  <c r="I191" i="53"/>
  <c r="J35" i="61" s="1"/>
  <c r="J6" i="61"/>
  <c r="I260" i="53" s="1"/>
  <c r="K48" i="61"/>
  <c r="E8" i="21"/>
  <c r="F137" i="29" s="1"/>
  <c r="F126" i="29"/>
  <c r="F156" i="29"/>
  <c r="F36" i="29"/>
  <c r="F141" i="29"/>
  <c r="F171" i="29"/>
  <c r="J191" i="53"/>
  <c r="F8" i="21"/>
  <c r="G32" i="29" s="1"/>
  <c r="I37" i="61"/>
  <c r="H12" i="84"/>
  <c r="H42" i="84"/>
  <c r="I45" i="22"/>
  <c r="I67" i="22" s="1"/>
  <c r="H67" i="22"/>
  <c r="F174" i="84"/>
  <c r="F177" i="84" s="1"/>
  <c r="G10" i="55"/>
  <c r="G65" i="55"/>
  <c r="I200" i="55" s="1"/>
  <c r="E96" i="29"/>
  <c r="D60" i="29"/>
  <c r="C96" i="22"/>
  <c r="E11" i="29"/>
  <c r="G37" i="29"/>
  <c r="G172" i="29"/>
  <c r="G157" i="29"/>
  <c r="G142" i="29"/>
  <c r="G127" i="29"/>
  <c r="J159" i="84"/>
  <c r="E302" i="55"/>
  <c r="E305" i="55" s="1"/>
  <c r="E306" i="55" s="1"/>
  <c r="C18" i="21"/>
  <c r="G43" i="22"/>
  <c r="F68" i="22"/>
  <c r="H53" i="61"/>
  <c r="M44" i="22"/>
  <c r="M65" i="22"/>
  <c r="D13" i="69" s="1"/>
  <c r="G140" i="55"/>
  <c r="J198" i="55" s="1"/>
  <c r="I253" i="55"/>
  <c r="G12" i="84"/>
  <c r="G42" i="84"/>
  <c r="K15" i="61"/>
  <c r="J261" i="53" s="1"/>
  <c r="F290" i="55"/>
  <c r="F292" i="55" s="1"/>
  <c r="H7" i="61"/>
  <c r="H50" i="61"/>
  <c r="H16" i="61"/>
  <c r="J15" i="61"/>
  <c r="J48" i="61"/>
  <c r="G152" i="55"/>
  <c r="I211" i="55" s="1"/>
  <c r="I265" i="55"/>
  <c r="H165" i="84"/>
  <c r="H166" i="84"/>
  <c r="C23" i="21"/>
  <c r="E186" i="84"/>
  <c r="E188" i="84" s="1"/>
  <c r="J265" i="55"/>
  <c r="H152" i="55"/>
  <c r="J211" i="55" s="1"/>
  <c r="E152" i="29"/>
  <c r="E122" i="29"/>
  <c r="E137" i="29"/>
  <c r="E167" i="29"/>
  <c r="E32" i="29"/>
  <c r="J40" i="61"/>
  <c r="G13" i="21"/>
  <c r="H275" i="53"/>
  <c r="H277" i="53" s="1"/>
  <c r="F22" i="21"/>
  <c r="O64" i="22"/>
  <c r="P61" i="22" s="1"/>
  <c r="N38" i="22"/>
  <c r="N40" i="22" s="1"/>
  <c r="H37" i="22"/>
  <c r="E12" i="68" l="1"/>
  <c r="G17" i="61"/>
  <c r="F175" i="72" s="1"/>
  <c r="F177" i="72" s="1"/>
  <c r="D19" i="21" s="1"/>
  <c r="G165" i="72"/>
  <c r="H17" i="61" s="1"/>
  <c r="I8" i="61" s="1"/>
  <c r="H174" i="72" s="1"/>
  <c r="F75" i="72"/>
  <c r="H144" i="72" s="1"/>
  <c r="H142" i="72"/>
  <c r="E75" i="72"/>
  <c r="G144" i="72" s="1"/>
  <c r="G150" i="72" s="1"/>
  <c r="E9" i="21" s="1"/>
  <c r="E15" i="21" s="1"/>
  <c r="F6" i="68" s="1"/>
  <c r="F12" i="72"/>
  <c r="H166" i="72" s="1"/>
  <c r="T9" i="85"/>
  <c r="H72" i="72"/>
  <c r="G65" i="72"/>
  <c r="G67" i="72" s="1"/>
  <c r="I156" i="72"/>
  <c r="S9" i="85"/>
  <c r="G72" i="72"/>
  <c r="H65" i="72"/>
  <c r="H67" i="72" s="1"/>
  <c r="J156" i="72"/>
  <c r="D31" i="68"/>
  <c r="D12" i="68"/>
  <c r="E21" i="61"/>
  <c r="F8" i="61"/>
  <c r="D175" i="72"/>
  <c r="D177" i="72" s="1"/>
  <c r="F43" i="61"/>
  <c r="F45" i="61" s="1"/>
  <c r="F56" i="61" s="1"/>
  <c r="F57" i="61" s="1"/>
  <c r="C24" i="69" s="1"/>
  <c r="D29" i="68" s="1"/>
  <c r="G12" i="61"/>
  <c r="D9" i="21"/>
  <c r="D15" i="21" s="1"/>
  <c r="E6" i="68" s="1"/>
  <c r="E31" i="68"/>
  <c r="H61" i="72"/>
  <c r="H141" i="72"/>
  <c r="H169" i="72"/>
  <c r="H168" i="72"/>
  <c r="G61" i="72"/>
  <c r="H146" i="72"/>
  <c r="S34" i="85"/>
  <c r="T34" i="85"/>
  <c r="S32" i="85"/>
  <c r="T32" i="85"/>
  <c r="G36" i="29"/>
  <c r="G171" i="29"/>
  <c r="G156" i="29"/>
  <c r="G141" i="29"/>
  <c r="I167" i="72"/>
  <c r="K16" i="61"/>
  <c r="J290" i="55" s="1"/>
  <c r="J167" i="72"/>
  <c r="K50" i="61"/>
  <c r="J229" i="55"/>
  <c r="H8" i="21" s="1"/>
  <c r="I50" i="61"/>
  <c r="G175" i="84"/>
  <c r="G177" i="84" s="1"/>
  <c r="G186" i="84" s="1"/>
  <c r="G188" i="84" s="1"/>
  <c r="I53" i="61"/>
  <c r="K35" i="61"/>
  <c r="G12" i="21"/>
  <c r="H156" i="29" s="1"/>
  <c r="H290" i="55"/>
  <c r="G167" i="29"/>
  <c r="G137" i="29"/>
  <c r="G122" i="29"/>
  <c r="G152" i="29"/>
  <c r="F32" i="29"/>
  <c r="F122" i="29"/>
  <c r="H12" i="21"/>
  <c r="I171" i="29" s="1"/>
  <c r="F152" i="29"/>
  <c r="F167" i="29"/>
  <c r="D23" i="21"/>
  <c r="F186" i="84"/>
  <c r="F188" i="84" s="1"/>
  <c r="H127" i="29"/>
  <c r="H37" i="29"/>
  <c r="H172" i="29"/>
  <c r="H157" i="29"/>
  <c r="H142" i="29"/>
  <c r="I18" i="61"/>
  <c r="I261" i="53"/>
  <c r="I263" i="53" s="1"/>
  <c r="K6" i="61"/>
  <c r="J260" i="53" s="1"/>
  <c r="J263" i="53" s="1"/>
  <c r="G289" i="55"/>
  <c r="I165" i="84"/>
  <c r="I166" i="84"/>
  <c r="I198" i="55"/>
  <c r="I229" i="55" s="1"/>
  <c r="I284" i="55"/>
  <c r="I285" i="55"/>
  <c r="G290" i="55"/>
  <c r="I7" i="61"/>
  <c r="F302" i="55"/>
  <c r="F305" i="55" s="1"/>
  <c r="F306" i="55" s="1"/>
  <c r="D18" i="21"/>
  <c r="G46" i="22"/>
  <c r="G65" i="22"/>
  <c r="I282" i="55"/>
  <c r="I283" i="55"/>
  <c r="J165" i="84"/>
  <c r="J166" i="84"/>
  <c r="M66" i="22"/>
  <c r="M45" i="22"/>
  <c r="M46" i="22"/>
  <c r="H13" i="21"/>
  <c r="K40" i="61"/>
  <c r="I289" i="55"/>
  <c r="P62" i="22"/>
  <c r="P63" i="22" s="1"/>
  <c r="O37" i="22"/>
  <c r="N39" i="22"/>
  <c r="H40" i="22"/>
  <c r="H8" i="61" l="1"/>
  <c r="G174" i="72" s="1"/>
  <c r="H51" i="61"/>
  <c r="H55" i="61" s="1"/>
  <c r="E25" i="69" s="1"/>
  <c r="F12" i="68" s="1"/>
  <c r="G21" i="61"/>
  <c r="D10" i="69" s="1"/>
  <c r="E32" i="68" s="1"/>
  <c r="G73" i="72"/>
  <c r="G74" i="72" s="1"/>
  <c r="I143" i="72" s="1"/>
  <c r="I159" i="72"/>
  <c r="H73" i="72"/>
  <c r="H74" i="72" s="1"/>
  <c r="J143" i="72" s="1"/>
  <c r="J159" i="72"/>
  <c r="H165" i="72"/>
  <c r="I51" i="61" s="1"/>
  <c r="I55" i="61" s="1"/>
  <c r="F25" i="69" s="1"/>
  <c r="G12" i="72"/>
  <c r="I165" i="72" s="1"/>
  <c r="I142" i="72"/>
  <c r="J142" i="72"/>
  <c r="H12" i="72"/>
  <c r="E174" i="72"/>
  <c r="E177" i="72" s="1"/>
  <c r="F12" i="61"/>
  <c r="B10" i="69"/>
  <c r="E43" i="61"/>
  <c r="E45" i="61" s="1"/>
  <c r="E56" i="61" s="1"/>
  <c r="E57" i="61" s="1"/>
  <c r="B19" i="21"/>
  <c r="B25" i="21" s="1"/>
  <c r="D186" i="72"/>
  <c r="D188" i="72" s="1"/>
  <c r="D189" i="72" s="1"/>
  <c r="E153" i="29"/>
  <c r="E159" i="29" s="1"/>
  <c r="E33" i="29"/>
  <c r="E39" i="29" s="1"/>
  <c r="E138" i="29"/>
  <c r="E144" i="29" s="1"/>
  <c r="E168" i="29"/>
  <c r="E174" i="29" s="1"/>
  <c r="E123" i="29"/>
  <c r="E129" i="29" s="1"/>
  <c r="F186" i="72"/>
  <c r="F188" i="72" s="1"/>
  <c r="F189" i="72" s="1"/>
  <c r="H150" i="72"/>
  <c r="I38" i="61" s="1"/>
  <c r="I42" i="61" s="1"/>
  <c r="F9" i="69" s="1"/>
  <c r="G175" i="72"/>
  <c r="H21" i="61"/>
  <c r="H43" i="61" s="1"/>
  <c r="C27" i="69"/>
  <c r="H38" i="61"/>
  <c r="H42" i="61" s="1"/>
  <c r="E9" i="69" s="1"/>
  <c r="F31" i="68" s="1"/>
  <c r="J141" i="72"/>
  <c r="J168" i="72"/>
  <c r="J169" i="72"/>
  <c r="I141" i="72"/>
  <c r="I169" i="72"/>
  <c r="I168" i="72"/>
  <c r="D25" i="21"/>
  <c r="D38" i="21" s="1"/>
  <c r="D40" i="21" s="1"/>
  <c r="J146" i="72"/>
  <c r="F138" i="29"/>
  <c r="F144" i="29" s="1"/>
  <c r="F33" i="29"/>
  <c r="F39" i="29" s="1"/>
  <c r="F153" i="29"/>
  <c r="F159" i="29" s="1"/>
  <c r="F123" i="29"/>
  <c r="F129" i="29" s="1"/>
  <c r="F168" i="29"/>
  <c r="F174" i="29" s="1"/>
  <c r="I146" i="72"/>
  <c r="E23" i="21"/>
  <c r="I36" i="29"/>
  <c r="K37" i="61"/>
  <c r="H36" i="29"/>
  <c r="I141" i="29"/>
  <c r="I126" i="29"/>
  <c r="I156" i="29"/>
  <c r="H126" i="29"/>
  <c r="I167" i="29"/>
  <c r="K53" i="61"/>
  <c r="J18" i="61"/>
  <c r="K9" i="61" s="1"/>
  <c r="J174" i="84" s="1"/>
  <c r="H171" i="29"/>
  <c r="H141" i="29"/>
  <c r="I152" i="29"/>
  <c r="I32" i="29"/>
  <c r="I122" i="29"/>
  <c r="I137" i="29"/>
  <c r="J16" i="61"/>
  <c r="I290" i="55" s="1"/>
  <c r="I292" i="55" s="1"/>
  <c r="I302" i="55" s="1"/>
  <c r="I305" i="55" s="1"/>
  <c r="I306" i="55" s="1"/>
  <c r="G292" i="55"/>
  <c r="G302" i="55" s="1"/>
  <c r="G305" i="55" s="1"/>
  <c r="G306" i="55" s="1"/>
  <c r="J50" i="61"/>
  <c r="H289" i="55"/>
  <c r="H292" i="55" s="1"/>
  <c r="H302" i="55" s="1"/>
  <c r="H305" i="55" s="1"/>
  <c r="H306" i="55" s="1"/>
  <c r="I12" i="61"/>
  <c r="G8" i="21"/>
  <c r="J37" i="61"/>
  <c r="H22" i="21"/>
  <c r="J275" i="53"/>
  <c r="J277" i="53" s="1"/>
  <c r="N43" i="22"/>
  <c r="M68" i="22"/>
  <c r="M67" i="22"/>
  <c r="I275" i="53"/>
  <c r="I277" i="53" s="1"/>
  <c r="G22" i="21"/>
  <c r="I157" i="29"/>
  <c r="I172" i="29"/>
  <c r="I142" i="29"/>
  <c r="I127" i="29"/>
  <c r="I37" i="29"/>
  <c r="D42" i="21"/>
  <c r="D14" i="69"/>
  <c r="D15" i="69" s="1"/>
  <c r="D97" i="22"/>
  <c r="K18" i="61"/>
  <c r="H43" i="22"/>
  <c r="G68" i="22"/>
  <c r="J53" i="61"/>
  <c r="H175" i="84"/>
  <c r="H177" i="84" s="1"/>
  <c r="J9" i="61"/>
  <c r="P64" i="22"/>
  <c r="Q61" i="22" s="1"/>
  <c r="I37" i="22"/>
  <c r="O38" i="22"/>
  <c r="G43" i="61" l="1"/>
  <c r="G45" i="61" s="1"/>
  <c r="G56" i="61" s="1"/>
  <c r="G57" i="61" s="1"/>
  <c r="D24" i="69" s="1"/>
  <c r="E29" i="68" s="1"/>
  <c r="H12" i="61"/>
  <c r="G177" i="72"/>
  <c r="G186" i="72" s="1"/>
  <c r="G188" i="72" s="1"/>
  <c r="G189" i="72" s="1"/>
  <c r="G12" i="68"/>
  <c r="I17" i="61"/>
  <c r="J8" i="61" s="1"/>
  <c r="I174" i="72" s="1"/>
  <c r="I166" i="72"/>
  <c r="J51" i="61" s="1"/>
  <c r="J55" i="61" s="1"/>
  <c r="G25" i="69" s="1"/>
  <c r="H75" i="72"/>
  <c r="J144" i="72" s="1"/>
  <c r="G75" i="72"/>
  <c r="I144" i="72" s="1"/>
  <c r="I150" i="72" s="1"/>
  <c r="J38" i="61" s="1"/>
  <c r="J42" i="61" s="1"/>
  <c r="G9" i="69" s="1"/>
  <c r="H31" i="68" s="1"/>
  <c r="I175" i="84"/>
  <c r="E11" i="68"/>
  <c r="E13" i="68" s="1"/>
  <c r="C162" i="29"/>
  <c r="C163" i="29" s="1"/>
  <c r="C164" i="29" s="1"/>
  <c r="C132" i="29"/>
  <c r="C133" i="29" s="1"/>
  <c r="C134" i="29" s="1"/>
  <c r="C177" i="29"/>
  <c r="C178" i="29" s="1"/>
  <c r="C179" i="29" s="1"/>
  <c r="C147" i="29"/>
  <c r="C148" i="29" s="1"/>
  <c r="C149" i="29" s="1"/>
  <c r="C23" i="68"/>
  <c r="B38" i="21"/>
  <c r="B40" i="21" s="1"/>
  <c r="C41" i="29"/>
  <c r="C43" i="29" s="1"/>
  <c r="C19" i="21"/>
  <c r="C25" i="21" s="1"/>
  <c r="E186" i="72"/>
  <c r="E188" i="72" s="1"/>
  <c r="E189" i="72" s="1"/>
  <c r="B24" i="69"/>
  <c r="D11" i="62"/>
  <c r="J41" i="21"/>
  <c r="J165" i="72"/>
  <c r="J166" i="72"/>
  <c r="C32" i="68"/>
  <c r="D32" i="68"/>
  <c r="J150" i="72"/>
  <c r="H9" i="21" s="1"/>
  <c r="E19" i="21"/>
  <c r="H175" i="72"/>
  <c r="H177" i="72" s="1"/>
  <c r="H186" i="72" s="1"/>
  <c r="H188" i="72" s="1"/>
  <c r="H189" i="72" s="1"/>
  <c r="D27" i="69"/>
  <c r="E162" i="29"/>
  <c r="E163" i="29" s="1"/>
  <c r="E164" i="29" s="1"/>
  <c r="E10" i="69"/>
  <c r="F32" i="68" s="1"/>
  <c r="F9" i="21"/>
  <c r="G123" i="29" s="1"/>
  <c r="G129" i="29" s="1"/>
  <c r="H45" i="61"/>
  <c r="H56" i="61" s="1"/>
  <c r="H57" i="61" s="1"/>
  <c r="E24" i="69" s="1"/>
  <c r="E27" i="69" s="1"/>
  <c r="E23" i="68"/>
  <c r="G31" i="68"/>
  <c r="E177" i="29"/>
  <c r="E178" i="29" s="1"/>
  <c r="E179" i="29" s="1"/>
  <c r="E41" i="29"/>
  <c r="E43" i="29" s="1"/>
  <c r="E147" i="29"/>
  <c r="E148" i="29" s="1"/>
  <c r="E149" i="29" s="1"/>
  <c r="E132" i="29"/>
  <c r="E133" i="29" s="1"/>
  <c r="E134" i="29" s="1"/>
  <c r="E18" i="21"/>
  <c r="K7" i="61"/>
  <c r="J289" i="55" s="1"/>
  <c r="J292" i="55" s="1"/>
  <c r="G18" i="21"/>
  <c r="F18" i="21"/>
  <c r="I174" i="84"/>
  <c r="F23" i="21"/>
  <c r="H186" i="84"/>
  <c r="H188" i="84" s="1"/>
  <c r="H46" i="22"/>
  <c r="H65" i="22"/>
  <c r="F96" i="29"/>
  <c r="F11" i="29"/>
  <c r="E60" i="29"/>
  <c r="D96" i="22"/>
  <c r="N44" i="22"/>
  <c r="N65" i="22"/>
  <c r="E13" i="69" s="1"/>
  <c r="J175" i="84"/>
  <c r="J177" i="84" s="1"/>
  <c r="H167" i="29"/>
  <c r="H152" i="29"/>
  <c r="H122" i="29"/>
  <c r="H137" i="29"/>
  <c r="H32" i="29"/>
  <c r="E109" i="29"/>
  <c r="E110" i="29" s="1"/>
  <c r="D45" i="21"/>
  <c r="Q62" i="22"/>
  <c r="Q63" i="22" s="1"/>
  <c r="O40" i="22"/>
  <c r="O39" i="22"/>
  <c r="I40" i="22"/>
  <c r="I21" i="61" l="1"/>
  <c r="F10" i="69" s="1"/>
  <c r="G32" i="68" s="1"/>
  <c r="J12" i="61"/>
  <c r="J17" i="61"/>
  <c r="K8" i="61" s="1"/>
  <c r="J174" i="72" s="1"/>
  <c r="K51" i="61"/>
  <c r="K55" i="61" s="1"/>
  <c r="H25" i="69" s="1"/>
  <c r="I12" i="68" s="1"/>
  <c r="I177" i="84"/>
  <c r="K17" i="61"/>
  <c r="J175" i="72" s="1"/>
  <c r="E21" i="62"/>
  <c r="D162" i="29"/>
  <c r="D163" i="29" s="1"/>
  <c r="D164" i="29" s="1"/>
  <c r="D147" i="29"/>
  <c r="D148" i="29" s="1"/>
  <c r="D149" i="29" s="1"/>
  <c r="D177" i="29"/>
  <c r="D178" i="29" s="1"/>
  <c r="D179" i="29" s="1"/>
  <c r="D41" i="29"/>
  <c r="D43" i="29" s="1"/>
  <c r="D23" i="68"/>
  <c r="D132" i="29"/>
  <c r="D133" i="29" s="1"/>
  <c r="D134" i="29" s="1"/>
  <c r="C38" i="21"/>
  <c r="C40" i="21" s="1"/>
  <c r="C29" i="68"/>
  <c r="B27" i="69"/>
  <c r="C11" i="68"/>
  <c r="D11" i="68"/>
  <c r="D13" i="68" s="1"/>
  <c r="C109" i="29"/>
  <c r="C110" i="29" s="1"/>
  <c r="B45" i="21"/>
  <c r="E25" i="21"/>
  <c r="F177" i="29" s="1"/>
  <c r="F178" i="29" s="1"/>
  <c r="F179" i="29" s="1"/>
  <c r="F19" i="21"/>
  <c r="F25" i="21" s="1"/>
  <c r="G132" i="29" s="1"/>
  <c r="G133" i="29" s="1"/>
  <c r="G134" i="29" s="1"/>
  <c r="F11" i="68"/>
  <c r="F13" i="68" s="1"/>
  <c r="K38" i="61"/>
  <c r="K42" i="61" s="1"/>
  <c r="H9" i="69" s="1"/>
  <c r="I31" i="68" s="1"/>
  <c r="F29" i="68"/>
  <c r="G168" i="29"/>
  <c r="G174" i="29" s="1"/>
  <c r="G33" i="29"/>
  <c r="G39" i="29" s="1"/>
  <c r="G138" i="29"/>
  <c r="G144" i="29" s="1"/>
  <c r="F15" i="21"/>
  <c r="G6" i="68" s="1"/>
  <c r="G153" i="29"/>
  <c r="G159" i="29" s="1"/>
  <c r="G9" i="21"/>
  <c r="G15" i="21" s="1"/>
  <c r="H6" i="68" s="1"/>
  <c r="I138" i="29"/>
  <c r="I144" i="29" s="1"/>
  <c r="I168" i="29"/>
  <c r="I174" i="29" s="1"/>
  <c r="I33" i="29"/>
  <c r="I39" i="29" s="1"/>
  <c r="I123" i="29"/>
  <c r="I129" i="29" s="1"/>
  <c r="I153" i="29"/>
  <c r="I159" i="29" s="1"/>
  <c r="H15" i="21"/>
  <c r="I6" i="68" s="1"/>
  <c r="H18" i="21"/>
  <c r="J302" i="55"/>
  <c r="J305" i="55" s="1"/>
  <c r="J306" i="55" s="1"/>
  <c r="H12" i="68"/>
  <c r="G23" i="21"/>
  <c r="I186" i="84"/>
  <c r="I188" i="84" s="1"/>
  <c r="J186" i="84"/>
  <c r="J188" i="84" s="1"/>
  <c r="H23" i="21"/>
  <c r="N66" i="22"/>
  <c r="N45" i="22"/>
  <c r="N46" i="22"/>
  <c r="I43" i="22"/>
  <c r="H68" i="22"/>
  <c r="Q64" i="22"/>
  <c r="P37" i="22"/>
  <c r="I43" i="61" l="1"/>
  <c r="I45" i="61" s="1"/>
  <c r="I56" i="61" s="1"/>
  <c r="I57" i="61" s="1"/>
  <c r="F24" i="69" s="1"/>
  <c r="G11" i="68" s="1"/>
  <c r="G13" i="68" s="1"/>
  <c r="J177" i="72"/>
  <c r="J186" i="72" s="1"/>
  <c r="J188" i="72" s="1"/>
  <c r="J189" i="72" s="1"/>
  <c r="I175" i="72"/>
  <c r="I177" i="72" s="1"/>
  <c r="G19" i="21" s="1"/>
  <c r="G25" i="21" s="1"/>
  <c r="G38" i="21" s="1"/>
  <c r="G40" i="21" s="1"/>
  <c r="H109" i="29" s="1"/>
  <c r="H110" i="29" s="1"/>
  <c r="K12" i="61"/>
  <c r="J21" i="61"/>
  <c r="J43" i="61" s="1"/>
  <c r="J45" i="61" s="1"/>
  <c r="J56" i="61" s="1"/>
  <c r="J57" i="61" s="1"/>
  <c r="G24" i="69" s="1"/>
  <c r="G27" i="69" s="1"/>
  <c r="H19" i="21"/>
  <c r="H25" i="21" s="1"/>
  <c r="I147" i="29" s="1"/>
  <c r="I148" i="29" s="1"/>
  <c r="I149" i="29" s="1"/>
  <c r="K21" i="61"/>
  <c r="H10" i="69" s="1"/>
  <c r="B33" i="69"/>
  <c r="C33" i="69" s="1"/>
  <c r="D33" i="69" s="1"/>
  <c r="E33" i="69" s="1"/>
  <c r="F33" i="69" s="1"/>
  <c r="G33" i="69" s="1"/>
  <c r="H33" i="69" s="1"/>
  <c r="C7" i="68"/>
  <c r="C45" i="21"/>
  <c r="D109" i="29"/>
  <c r="D110" i="29" s="1"/>
  <c r="D22" i="29"/>
  <c r="C83" i="29"/>
  <c r="E20" i="62"/>
  <c r="C94" i="29"/>
  <c r="C71" i="29"/>
  <c r="F162" i="29"/>
  <c r="F163" i="29" s="1"/>
  <c r="F164" i="29" s="1"/>
  <c r="F23" i="68"/>
  <c r="F147" i="29"/>
  <c r="F148" i="29" s="1"/>
  <c r="F149" i="29" s="1"/>
  <c r="E38" i="21"/>
  <c r="E40" i="21" s="1"/>
  <c r="F109" i="29" s="1"/>
  <c r="F110" i="29" s="1"/>
  <c r="F132" i="29"/>
  <c r="F133" i="29" s="1"/>
  <c r="F134" i="29" s="1"/>
  <c r="F41" i="29"/>
  <c r="F43" i="29" s="1"/>
  <c r="H168" i="29"/>
  <c r="H174" i="29" s="1"/>
  <c r="H33" i="29"/>
  <c r="H39" i="29" s="1"/>
  <c r="H138" i="29"/>
  <c r="H144" i="29" s="1"/>
  <c r="F27" i="69"/>
  <c r="G10" i="69"/>
  <c r="H32" i="68" s="1"/>
  <c r="H123" i="29"/>
  <c r="H129" i="29" s="1"/>
  <c r="H153" i="29"/>
  <c r="H159" i="29" s="1"/>
  <c r="G41" i="29"/>
  <c r="G43" i="29" s="1"/>
  <c r="G162" i="29"/>
  <c r="G163" i="29" s="1"/>
  <c r="G164" i="29" s="1"/>
  <c r="G23" i="68"/>
  <c r="G147" i="29"/>
  <c r="G148" i="29" s="1"/>
  <c r="G149" i="29" s="1"/>
  <c r="F38" i="21"/>
  <c r="F40" i="21" s="1"/>
  <c r="G109" i="29" s="1"/>
  <c r="G110" i="29" s="1"/>
  <c r="G177" i="29"/>
  <c r="G178" i="29" s="1"/>
  <c r="G179" i="29" s="1"/>
  <c r="I46" i="22"/>
  <c r="I68" i="22" s="1"/>
  <c r="I65" i="22"/>
  <c r="E42" i="21"/>
  <c r="E97" i="22"/>
  <c r="E14" i="69"/>
  <c r="E15" i="69" s="1"/>
  <c r="O43" i="22"/>
  <c r="N68" i="22"/>
  <c r="N67" i="22"/>
  <c r="P38" i="22"/>
  <c r="P40" i="22" s="1"/>
  <c r="G29" i="68" l="1"/>
  <c r="I186" i="72"/>
  <c r="I188" i="72" s="1"/>
  <c r="I189" i="72" s="1"/>
  <c r="H29" i="68"/>
  <c r="H11" i="68"/>
  <c r="H13" i="68" s="1"/>
  <c r="K43" i="61"/>
  <c r="K45" i="61" s="1"/>
  <c r="K56" i="61" s="1"/>
  <c r="K57" i="61" s="1"/>
  <c r="H24" i="69" s="1"/>
  <c r="I11" i="68" s="1"/>
  <c r="I13" i="68" s="1"/>
  <c r="D4" i="23"/>
  <c r="C10" i="68"/>
  <c r="C13" i="68" s="1"/>
  <c r="E22" i="62"/>
  <c r="C15" i="29" s="1"/>
  <c r="I32" i="68"/>
  <c r="H41" i="29"/>
  <c r="H43" i="29" s="1"/>
  <c r="H23" i="68"/>
  <c r="H177" i="29"/>
  <c r="H178" i="29" s="1"/>
  <c r="H179" i="29" s="1"/>
  <c r="H132" i="29"/>
  <c r="H133" i="29" s="1"/>
  <c r="H134" i="29" s="1"/>
  <c r="H162" i="29"/>
  <c r="H163" i="29" s="1"/>
  <c r="H164" i="29" s="1"/>
  <c r="H147" i="29"/>
  <c r="H148" i="29" s="1"/>
  <c r="H149" i="29" s="1"/>
  <c r="I23" i="68"/>
  <c r="I41" i="29"/>
  <c r="I43" i="29" s="1"/>
  <c r="I177" i="29"/>
  <c r="I178" i="29" s="1"/>
  <c r="I179" i="29" s="1"/>
  <c r="I162" i="29"/>
  <c r="I163" i="29" s="1"/>
  <c r="I164" i="29" s="1"/>
  <c r="H38" i="21"/>
  <c r="H40" i="21" s="1"/>
  <c r="I109" i="29" s="1"/>
  <c r="I110" i="29" s="1"/>
  <c r="I132" i="29"/>
  <c r="I133" i="29" s="1"/>
  <c r="I134" i="29" s="1"/>
  <c r="O44" i="22"/>
  <c r="O46" i="22" s="1"/>
  <c r="O65" i="22"/>
  <c r="F13" i="69" s="1"/>
  <c r="E96" i="22"/>
  <c r="E45" i="21"/>
  <c r="G11" i="29"/>
  <c r="G96" i="29"/>
  <c r="F60" i="29"/>
  <c r="Q37" i="22"/>
  <c r="P39" i="22"/>
  <c r="I29" i="68" l="1"/>
  <c r="H27" i="69"/>
  <c r="D8" i="23"/>
  <c r="C10" i="23"/>
  <c r="D10" i="23" s="1"/>
  <c r="F10" i="23" s="1"/>
  <c r="E10" i="23" s="1"/>
  <c r="G10" i="23" s="1"/>
  <c r="C11" i="23" s="1"/>
  <c r="D11" i="23" s="1"/>
  <c r="F11" i="23" s="1"/>
  <c r="E11" i="23" s="1"/>
  <c r="G11" i="23" s="1"/>
  <c r="C12" i="23" s="1"/>
  <c r="D12" i="23" s="1"/>
  <c r="F12" i="23" s="1"/>
  <c r="E12" i="23" s="1"/>
  <c r="G12" i="23" s="1"/>
  <c r="C13" i="23" s="1"/>
  <c r="D13" i="23" s="1"/>
  <c r="F13" i="23" s="1"/>
  <c r="E13" i="23" s="1"/>
  <c r="G13" i="23" s="1"/>
  <c r="C14" i="23" s="1"/>
  <c r="D14" i="23" s="1"/>
  <c r="F14" i="23" s="1"/>
  <c r="E14" i="23" s="1"/>
  <c r="P43" i="22"/>
  <c r="O68" i="22"/>
  <c r="O66" i="22"/>
  <c r="O45" i="22"/>
  <c r="O67" i="22" s="1"/>
  <c r="Q38" i="22"/>
  <c r="F62" i="23" l="1"/>
  <c r="F54" i="23"/>
  <c r="F27" i="23"/>
  <c r="F31" i="23"/>
  <c r="F16" i="23"/>
  <c r="F56" i="23"/>
  <c r="F23" i="23"/>
  <c r="F41" i="23"/>
  <c r="F19" i="23"/>
  <c r="F60" i="23"/>
  <c r="F57" i="23"/>
  <c r="F39" i="23"/>
  <c r="F69" i="23"/>
  <c r="F47" i="23"/>
  <c r="F48" i="23"/>
  <c r="F46" i="23"/>
  <c r="F34" i="23"/>
  <c r="F64" i="23"/>
  <c r="F43" i="23"/>
  <c r="F61" i="23"/>
  <c r="F20" i="23"/>
  <c r="F59" i="23"/>
  <c r="F52" i="23"/>
  <c r="F18" i="23"/>
  <c r="F67" i="23"/>
  <c r="F50" i="23"/>
  <c r="F44" i="23"/>
  <c r="F24" i="23"/>
  <c r="F30" i="23"/>
  <c r="F37" i="23"/>
  <c r="F29" i="23"/>
  <c r="F45" i="23"/>
  <c r="F68" i="23"/>
  <c r="F26" i="23"/>
  <c r="F58" i="23"/>
  <c r="F22" i="23"/>
  <c r="F21" i="23"/>
  <c r="F32" i="23"/>
  <c r="F40" i="23"/>
  <c r="F17" i="23"/>
  <c r="F51" i="23"/>
  <c r="F25" i="23"/>
  <c r="F66" i="23"/>
  <c r="F36" i="23"/>
  <c r="F33" i="23"/>
  <c r="F28" i="23"/>
  <c r="F42" i="23"/>
  <c r="F38" i="23"/>
  <c r="F53" i="23"/>
  <c r="F63" i="23"/>
  <c r="F35" i="23"/>
  <c r="F55" i="23"/>
  <c r="F49" i="23"/>
  <c r="F65" i="23"/>
  <c r="P44" i="22"/>
  <c r="P46" i="22" s="1"/>
  <c r="P65" i="22"/>
  <c r="G13" i="69" s="1"/>
  <c r="F97" i="22"/>
  <c r="F42" i="21"/>
  <c r="F14" i="69"/>
  <c r="F15" i="69" s="1"/>
  <c r="Q40" i="22"/>
  <c r="G14" i="23"/>
  <c r="C15" i="23" s="1"/>
  <c r="Q39" i="22"/>
  <c r="G60" i="29" l="1"/>
  <c r="H11" i="29"/>
  <c r="F45" i="21"/>
  <c r="H96" i="29"/>
  <c r="F96" i="22"/>
  <c r="Q43" i="22"/>
  <c r="P68" i="22"/>
  <c r="P45" i="22"/>
  <c r="P67" i="22" s="1"/>
  <c r="P66" i="22"/>
  <c r="D15" i="23"/>
  <c r="F15" i="23" s="1"/>
  <c r="E15" i="23" s="1"/>
  <c r="G15" i="23" s="1"/>
  <c r="C16" i="23" s="1"/>
  <c r="Q44" i="22" l="1"/>
  <c r="Q46" i="22" s="1"/>
  <c r="Q68" i="22" s="1"/>
  <c r="Q65" i="22"/>
  <c r="H13" i="69" s="1"/>
  <c r="G97" i="22"/>
  <c r="G14" i="69"/>
  <c r="G15" i="69" s="1"/>
  <c r="G42" i="21"/>
  <c r="D16" i="23"/>
  <c r="E16" i="23" s="1"/>
  <c r="G16" i="23" s="1"/>
  <c r="C17" i="23" s="1"/>
  <c r="I11" i="29" l="1"/>
  <c r="G45" i="21"/>
  <c r="G96" i="22"/>
  <c r="H60" i="29"/>
  <c r="I96" i="29"/>
  <c r="Q45" i="22"/>
  <c r="Q67" i="22" s="1"/>
  <c r="Q66" i="22"/>
  <c r="D17" i="23"/>
  <c r="E17" i="23" s="1"/>
  <c r="G17" i="23" s="1"/>
  <c r="C18" i="23" s="1"/>
  <c r="H42" i="21" l="1"/>
  <c r="H14" i="69"/>
  <c r="H15" i="69" s="1"/>
  <c r="H97" i="22"/>
  <c r="D18" i="23"/>
  <c r="E18" i="23" s="1"/>
  <c r="G18" i="23" s="1"/>
  <c r="C19" i="23" s="1"/>
  <c r="H96" i="22" l="1"/>
  <c r="H45" i="21"/>
  <c r="J11" i="29"/>
  <c r="J96" i="29"/>
  <c r="I60" i="29"/>
  <c r="D19" i="23"/>
  <c r="E19" i="23" s="1"/>
  <c r="G19" i="23" s="1"/>
  <c r="C20" i="23" s="1"/>
  <c r="D20" i="23" l="1"/>
  <c r="E20" i="23" s="1"/>
  <c r="G20" i="23" s="1"/>
  <c r="C21" i="23" s="1"/>
  <c r="D21" i="23" l="1"/>
  <c r="E21" i="23" l="1"/>
  <c r="C27" i="68"/>
  <c r="B47" i="21" s="1"/>
  <c r="C45" i="29" s="1"/>
  <c r="B49" i="21" l="1"/>
  <c r="J40" i="21" s="1"/>
  <c r="J42" i="21" s="1"/>
  <c r="C47" i="29"/>
  <c r="C26" i="68"/>
  <c r="G21" i="23"/>
  <c r="B95" i="22" l="1"/>
  <c r="B98" i="22" s="1"/>
  <c r="B99" i="22" s="1"/>
  <c r="B50" i="21" s="1"/>
  <c r="C30" i="68" s="1"/>
  <c r="C112" i="29"/>
  <c r="C114" i="29" s="1"/>
  <c r="C22" i="23"/>
  <c r="B28" i="69"/>
  <c r="B31" i="69" s="1"/>
  <c r="B51" i="21" l="1"/>
  <c r="B53" i="21" s="1"/>
  <c r="D22" i="23"/>
  <c r="B52" i="21" l="1"/>
  <c r="B54" i="21" s="1"/>
  <c r="C58" i="29" s="1"/>
  <c r="C63" i="29" s="1"/>
  <c r="C67" i="29" s="1"/>
  <c r="B55" i="21"/>
  <c r="C80" i="29"/>
  <c r="B37" i="69"/>
  <c r="E22" i="23"/>
  <c r="C33" i="68" l="1"/>
  <c r="C34" i="68" s="1"/>
  <c r="C35" i="68" s="1"/>
  <c r="C37" i="68" s="1"/>
  <c r="B8" i="69" s="1"/>
  <c r="B11" i="69" s="1"/>
  <c r="B20" i="69" s="1"/>
  <c r="D95" i="29"/>
  <c r="D98" i="29" s="1"/>
  <c r="D99" i="29" s="1"/>
  <c r="D9" i="29"/>
  <c r="D14" i="29" s="1"/>
  <c r="D15" i="29" s="1"/>
  <c r="B38" i="69"/>
  <c r="B39" i="69" s="1"/>
  <c r="C36" i="69" s="1"/>
  <c r="G22" i="23"/>
  <c r="C23" i="23" s="1"/>
  <c r="D36" i="68" l="1"/>
  <c r="B41" i="69"/>
  <c r="B43" i="69" s="1"/>
  <c r="B46" i="69" s="1"/>
  <c r="D23" i="23"/>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7" i="68"/>
  <c r="C47" i="21" s="1"/>
  <c r="C49" i="21" l="1"/>
  <c r="C95" i="22" s="1"/>
  <c r="C98" i="22" s="1"/>
  <c r="C99" i="22" s="1"/>
  <c r="C50" i="21" s="1"/>
  <c r="D30" i="68" s="1"/>
  <c r="D45" i="29"/>
  <c r="D47" i="29" s="1"/>
  <c r="D26" i="68"/>
  <c r="G33" i="23"/>
  <c r="C34" i="23" l="1"/>
  <c r="C28" i="69"/>
  <c r="C31" i="69" s="1"/>
  <c r="D112" i="29"/>
  <c r="D114" i="29" s="1"/>
  <c r="C51" i="21"/>
  <c r="C37" i="69" l="1"/>
  <c r="C55" i="21"/>
  <c r="C52" i="21"/>
  <c r="C54" i="21" s="1"/>
  <c r="D80" i="29"/>
  <c r="C53" i="21"/>
  <c r="D34" i="23"/>
  <c r="D58" i="29" l="1"/>
  <c r="D63" i="29" s="1"/>
  <c r="D67" i="29" s="1"/>
  <c r="E95" i="29"/>
  <c r="E98" i="29" s="1"/>
  <c r="E99" i="29" s="1"/>
  <c r="E9" i="29"/>
  <c r="E14" i="29" s="1"/>
  <c r="E15" i="29" s="1"/>
  <c r="C38" i="69"/>
  <c r="C39" i="69" s="1"/>
  <c r="C41" i="69" s="1"/>
  <c r="C43" i="69" s="1"/>
  <c r="D33" i="68"/>
  <c r="D34" i="68" s="1"/>
  <c r="D35" i="68" s="1"/>
  <c r="D37" i="68" s="1"/>
  <c r="E34" i="23"/>
  <c r="D36" i="69" l="1"/>
  <c r="E36" i="68"/>
  <c r="C8" i="69"/>
  <c r="C11" i="69" s="1"/>
  <c r="C20" i="69" s="1"/>
  <c r="C46" i="69" s="1"/>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7" i="68"/>
  <c r="D47" i="21" s="1"/>
  <c r="D49" i="21" l="1"/>
  <c r="D95" i="22" s="1"/>
  <c r="D98" i="22" s="1"/>
  <c r="D99" i="22" s="1"/>
  <c r="D50" i="21" s="1"/>
  <c r="E30" i="68" s="1"/>
  <c r="E45" i="29"/>
  <c r="E47" i="29" s="1"/>
  <c r="E26" i="68"/>
  <c r="G45" i="23"/>
  <c r="E112" i="29" l="1"/>
  <c r="E114" i="29" s="1"/>
  <c r="D51" i="21"/>
  <c r="C46" i="23"/>
  <c r="D28" i="69"/>
  <c r="D31" i="69" s="1"/>
  <c r="D37" i="69" l="1"/>
  <c r="D55" i="21"/>
  <c r="D52" i="21"/>
  <c r="E80" i="29"/>
  <c r="D53" i="21"/>
  <c r="D46" i="23"/>
  <c r="D54" i="21" l="1"/>
  <c r="D38" i="69"/>
  <c r="D39" i="69" s="1"/>
  <c r="E36" i="69" s="1"/>
  <c r="E33" i="68"/>
  <c r="E34" i="68" s="1"/>
  <c r="E35" i="68" s="1"/>
  <c r="E37" i="68" s="1"/>
  <c r="E46" i="23"/>
  <c r="D41" i="69" l="1"/>
  <c r="D43" i="69" s="1"/>
  <c r="F95" i="29"/>
  <c r="F98" i="29" s="1"/>
  <c r="F99" i="29" s="1"/>
  <c r="E58" i="29"/>
  <c r="E63" i="29" s="1"/>
  <c r="E67" i="29" s="1"/>
  <c r="F36" i="68"/>
  <c r="D8" i="69"/>
  <c r="D11" i="69" s="1"/>
  <c r="D20" i="69" s="1"/>
  <c r="F9" i="29"/>
  <c r="F14" i="29" s="1"/>
  <c r="F15" i="29" s="1"/>
  <c r="G46" i="23"/>
  <c r="C47" i="23" s="1"/>
  <c r="D46" i="69" l="1"/>
  <c r="D47" i="23"/>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7" i="68"/>
  <c r="E47" i="21" s="1"/>
  <c r="E49" i="21" l="1"/>
  <c r="E95" i="22" s="1"/>
  <c r="E98" i="22" s="1"/>
  <c r="E99" i="22" s="1"/>
  <c r="E50" i="21" s="1"/>
  <c r="F30" i="68" s="1"/>
  <c r="F45" i="29"/>
  <c r="F47" i="29" s="1"/>
  <c r="F26" i="68"/>
  <c r="G57" i="23"/>
  <c r="E51" i="21" l="1"/>
  <c r="C58" i="23"/>
  <c r="E28" i="69"/>
  <c r="E31" i="69" s="1"/>
  <c r="F112" i="29"/>
  <c r="F114" i="29" s="1"/>
  <c r="E37" i="69" l="1"/>
  <c r="E55" i="21"/>
  <c r="E52" i="21"/>
  <c r="E54" i="21" s="1"/>
  <c r="D58" i="23"/>
  <c r="F80" i="29"/>
  <c r="E53" i="21"/>
  <c r="F58" i="29" l="1"/>
  <c r="F63" i="29" s="1"/>
  <c r="F67" i="29" s="1"/>
  <c r="G95" i="29"/>
  <c r="G98" i="29" s="1"/>
  <c r="G99" i="29" s="1"/>
  <c r="G9" i="29"/>
  <c r="G14" i="29" s="1"/>
  <c r="G15" i="29" s="1"/>
  <c r="F33" i="68"/>
  <c r="F34" i="68" s="1"/>
  <c r="F35" i="68" s="1"/>
  <c r="F37" i="68" s="1"/>
  <c r="E38" i="69"/>
  <c r="E39" i="69" s="1"/>
  <c r="F36" i="69" s="1"/>
  <c r="E58" i="23"/>
  <c r="E41" i="69" l="1"/>
  <c r="E43" i="69" s="1"/>
  <c r="E8" i="69"/>
  <c r="E11" i="69" s="1"/>
  <c r="E20" i="69" s="1"/>
  <c r="G36" i="68"/>
  <c r="G58" i="23"/>
  <c r="C59" i="23" s="1"/>
  <c r="E46" i="69" l="1"/>
  <c r="D59" i="23"/>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7" i="68"/>
  <c r="F47" i="21" s="1"/>
  <c r="F49" i="21" l="1"/>
  <c r="F95" i="22" s="1"/>
  <c r="F98" i="22" s="1"/>
  <c r="F99" i="22" s="1"/>
  <c r="F50" i="21" s="1"/>
  <c r="G30" i="68" s="1"/>
  <c r="G45" i="29"/>
  <c r="G47" i="29" s="1"/>
  <c r="G26" i="68"/>
  <c r="G69" i="23"/>
  <c r="F51" i="21" l="1"/>
  <c r="C70" i="23"/>
  <c r="F28" i="69"/>
  <c r="F31" i="69" s="1"/>
  <c r="G112" i="29"/>
  <c r="G114" i="29" s="1"/>
  <c r="F37" i="69" l="1"/>
  <c r="F55" i="21"/>
  <c r="F52" i="21"/>
  <c r="F54" i="21" s="1"/>
  <c r="D70" i="23"/>
  <c r="G80" i="29"/>
  <c r="F53" i="21"/>
  <c r="H95" i="29" l="1"/>
  <c r="H98" i="29" s="1"/>
  <c r="H99" i="29" s="1"/>
  <c r="G58" i="29"/>
  <c r="G63" i="29" s="1"/>
  <c r="G67" i="29" s="1"/>
  <c r="H9" i="29"/>
  <c r="H14" i="29" s="1"/>
  <c r="H15" i="29" s="1"/>
  <c r="G33" i="68"/>
  <c r="G34" i="68" s="1"/>
  <c r="G35" i="68" s="1"/>
  <c r="G37" i="68" s="1"/>
  <c r="F38" i="69"/>
  <c r="F39" i="69" s="1"/>
  <c r="G36" i="69" s="1"/>
  <c r="E70" i="23"/>
  <c r="D101" i="29" l="1"/>
  <c r="D32" i="62" s="1"/>
  <c r="F41" i="69"/>
  <c r="F43" i="69" s="1"/>
  <c r="H36" i="68"/>
  <c r="F8" i="69"/>
  <c r="F11" i="69" s="1"/>
  <c r="F20" i="69" s="1"/>
  <c r="G70" i="23"/>
  <c r="C71" i="23" s="1"/>
  <c r="F46" i="69" l="1"/>
  <c r="D71" i="23"/>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7" i="68"/>
  <c r="G47" i="21" s="1"/>
  <c r="G49" i="21" l="1"/>
  <c r="G95" i="22" s="1"/>
  <c r="G98" i="22" s="1"/>
  <c r="G99" i="22" s="1"/>
  <c r="G50" i="21" s="1"/>
  <c r="H30" i="68" s="1"/>
  <c r="H45" i="29"/>
  <c r="H47" i="29" s="1"/>
  <c r="H26" i="68"/>
  <c r="G81" i="23"/>
  <c r="H112" i="29" l="1"/>
  <c r="G51" i="21"/>
  <c r="C82" i="23"/>
  <c r="G28" i="69"/>
  <c r="G31" i="69" s="1"/>
  <c r="G37" i="69" l="1"/>
  <c r="G55" i="21"/>
  <c r="G52" i="21"/>
  <c r="G54" i="21" s="1"/>
  <c r="D82" i="23"/>
  <c r="H80" i="29"/>
  <c r="G53" i="21"/>
  <c r="I95" i="29" l="1"/>
  <c r="I98" i="29" s="1"/>
  <c r="I99" i="29" s="1"/>
  <c r="H58" i="29"/>
  <c r="H63" i="29" s="1"/>
  <c r="H67" i="29" s="1"/>
  <c r="I9" i="29"/>
  <c r="I14" i="29" s="1"/>
  <c r="I15" i="29" s="1"/>
  <c r="G38" i="69"/>
  <c r="G39" i="69" s="1"/>
  <c r="G41" i="69" s="1"/>
  <c r="G43" i="69" s="1"/>
  <c r="H33" i="68"/>
  <c r="H34" i="68" s="1"/>
  <c r="H35" i="68" s="1"/>
  <c r="H37" i="68" s="1"/>
  <c r="E82" i="23"/>
  <c r="H36" i="69" l="1"/>
  <c r="G8" i="69"/>
  <c r="G11" i="69" s="1"/>
  <c r="G20" i="69" s="1"/>
  <c r="G46" i="69" s="1"/>
  <c r="I36" i="68"/>
  <c r="G82" i="23"/>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7" i="68"/>
  <c r="H47" i="21" s="1"/>
  <c r="H49" i="21" l="1"/>
  <c r="H95" i="22" s="1"/>
  <c r="H98" i="22" s="1"/>
  <c r="H99" i="22" s="1"/>
  <c r="H50" i="21" s="1"/>
  <c r="I30" i="68" s="1"/>
  <c r="I45" i="29"/>
  <c r="I47" i="29" s="1"/>
  <c r="C49" i="29" s="1"/>
  <c r="D28" i="62" s="1"/>
  <c r="E94" i="23"/>
  <c r="I26" i="68"/>
  <c r="G93" i="23"/>
  <c r="H28" i="69" s="1"/>
  <c r="H31" i="69" s="1"/>
  <c r="I112" i="29" l="1"/>
  <c r="C116" i="29" s="1"/>
  <c r="D33" i="62" s="1"/>
  <c r="H51" i="21"/>
  <c r="H37" i="69" l="1"/>
  <c r="H55" i="21"/>
  <c r="H52" i="21"/>
  <c r="I80" i="29"/>
  <c r="C82" i="29" s="1"/>
  <c r="C85" i="29" s="1"/>
  <c r="D29" i="62" s="1"/>
  <c r="H53" i="21"/>
  <c r="H54" i="21" l="1"/>
  <c r="H38" i="69"/>
  <c r="H39" i="69" s="1"/>
  <c r="H41" i="69" s="1"/>
  <c r="H43" i="69" s="1"/>
  <c r="I33" i="68"/>
  <c r="I34" i="68" s="1"/>
  <c r="I35" i="68" s="1"/>
  <c r="I37" i="68" s="1"/>
  <c r="H8" i="69" s="1"/>
  <c r="H11" i="69" s="1"/>
  <c r="H20" i="69" s="1"/>
  <c r="J95" i="29" l="1"/>
  <c r="J98" i="29" s="1"/>
  <c r="J99" i="29" s="1"/>
  <c r="I58" i="29"/>
  <c r="I63" i="29" s="1"/>
  <c r="I67" i="29" s="1"/>
  <c r="C69" i="29" s="1"/>
  <c r="C73" i="29" s="1"/>
  <c r="D31" i="62" s="1"/>
  <c r="J9" i="29"/>
  <c r="J14" i="29" s="1"/>
  <c r="J15" i="29" s="1"/>
  <c r="H46" i="69"/>
  <c r="C16" i="29" l="1"/>
  <c r="D18" i="29" s="1"/>
  <c r="D19" i="29" l="1"/>
  <c r="E18" i="29"/>
  <c r="E19" i="29" s="1"/>
  <c r="D30" i="62"/>
  <c r="F18" i="29" l="1"/>
  <c r="F19" i="29" s="1"/>
  <c r="G18" i="29" l="1"/>
  <c r="H18" i="29" s="1"/>
  <c r="G19" i="29" l="1"/>
  <c r="I18" i="29"/>
  <c r="H19" i="29"/>
  <c r="J18" i="29" l="1"/>
  <c r="J19" i="29" s="1"/>
  <c r="I19" i="29"/>
  <c r="D20" i="29" l="1"/>
  <c r="F23" i="29" s="1"/>
</calcChain>
</file>

<file path=xl/sharedStrings.xml><?xml version="1.0" encoding="utf-8"?>
<sst xmlns="http://schemas.openxmlformats.org/spreadsheetml/2006/main" count="1629" uniqueCount="808">
  <si>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</si>
  <si>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</si>
  <si>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</si>
  <si>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</si>
  <si>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</si>
  <si>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</si>
  <si>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</si>
  <si>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</si>
  <si>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</si>
  <si>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</si>
  <si>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</si>
  <si>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</si>
  <si>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</si>
  <si>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</si>
  <si>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</si>
  <si>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</si>
  <si>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</si>
  <si>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</si>
  <si>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</si>
  <si>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</si>
  <si>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</si>
  <si>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</si>
  <si>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</si>
  <si>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</si>
  <si>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</si>
  <si>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</si>
  <si>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</si>
  <si>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</si>
  <si>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</si>
  <si>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</si>
  <si>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</si>
  <si>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</si>
  <si>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</si>
  <si>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</si>
  <si>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</si>
  <si>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</si>
  <si>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</si>
  <si>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</si>
  <si>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</si>
  <si>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</si>
  <si>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</si>
  <si>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</si>
  <si>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</si>
  <si>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</si>
  <si>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</si>
  <si>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</si>
  <si>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</si>
  <si>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</si>
  <si>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</si>
  <si>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</si>
  <si>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</si>
  <si>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</si>
  <si>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</si>
  <si>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</si>
  <si>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</si>
  <si>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</si>
  <si>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</si>
  <si>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</si>
  <si>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</si>
  <si>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</si>
  <si>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</si>
  <si>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</si>
  <si>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</si>
  <si>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</si>
  <si>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</si>
  <si>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</si>
  <si>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</si>
  <si>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</si>
  <si>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</si>
  <si>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</si>
  <si>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</si>
  <si>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</si>
  <si>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</si>
  <si>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</si>
  <si>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</si>
  <si>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</si>
  <si>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</si>
  <si>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</si>
  <si>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</si>
  <si>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</si>
  <si>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</si>
  <si>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</si>
  <si>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</si>
  <si>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</si>
  <si>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</si>
  <si>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</si>
  <si>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</si>
  <si>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</si>
  <si>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</si>
  <si>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</si>
  <si>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</si>
  <si>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</si>
  <si>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</si>
  <si>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</si>
  <si>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</si>
  <si>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</si>
  <si>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</si>
  <si>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</si>
  <si>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</si>
  <si>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</si>
  <si>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</si>
  <si>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</si>
  <si>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</si>
  <si>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</si>
  <si>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</si>
  <si>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</si>
  <si>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</si>
  <si>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</si>
  <si>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</si>
  <si>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</si>
  <si>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</si>
  <si>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</si>
  <si>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</si>
  <si>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</si>
  <si>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</si>
  <si>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</si>
  <si>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</si>
  <si>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</si>
  <si>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</si>
  <si>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</si>
  <si>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</si>
  <si>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</si>
  <si>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</si>
  <si>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</si>
  <si>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</si>
  <si>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</si>
  <si>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</si>
  <si>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</si>
  <si>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</si>
  <si>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</si>
  <si>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</si>
  <si>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</si>
  <si>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</si>
  <si>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</si>
  <si>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</si>
  <si>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</si>
  <si>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</si>
  <si>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</si>
  <si>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</si>
  <si>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</si>
  <si>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</si>
  <si>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</si>
  <si>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</si>
  <si>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</si>
  <si>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</si>
  <si>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</si>
  <si>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</si>
  <si>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</si>
  <si>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</si>
  <si>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</si>
  <si>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</si>
  <si>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</si>
  <si>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</si>
  <si>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</si>
  <si>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</si>
  <si>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</si>
  <si>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</si>
  <si>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</si>
  <si>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</si>
  <si>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</si>
  <si>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</si>
  <si>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</si>
  <si>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</si>
  <si>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</si>
  <si>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</si>
  <si>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Y7</t>
  </si>
  <si>
    <t>Y6</t>
  </si>
  <si>
    <t>No. of Operation Days</t>
  </si>
  <si>
    <t>Subtotal</t>
  </si>
  <si>
    <t>Transportation Cost</t>
  </si>
  <si>
    <t>A</t>
  </si>
  <si>
    <t>B</t>
  </si>
  <si>
    <t>C</t>
  </si>
  <si>
    <t>D</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</si>
  <si>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</si>
  <si>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</si>
  <si>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</si>
  <si>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</si>
  <si>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</si>
  <si>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</si>
  <si>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</si>
  <si>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</si>
  <si>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</si>
  <si>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</si>
  <si>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</si>
  <si>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</si>
  <si>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</si>
  <si>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</si>
  <si>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</si>
  <si>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</si>
  <si>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</si>
  <si>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</si>
  <si>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</si>
  <si>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</si>
  <si>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</si>
  <si>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</si>
  <si>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</si>
  <si>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</si>
  <si>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</si>
  <si>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</si>
  <si>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</si>
  <si>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</si>
  <si>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</si>
  <si>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</si>
  <si>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</si>
  <si>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</si>
  <si>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</si>
  <si>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</si>
  <si>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</si>
  <si>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</si>
  <si>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</si>
  <si>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</si>
  <si>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</si>
  <si>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</si>
  <si>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</si>
  <si>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</si>
  <si>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</si>
  <si>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</si>
  <si>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</si>
  <si>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</si>
  <si>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</si>
  <si>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</si>
  <si>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</si>
  <si>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</si>
  <si>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</si>
  <si>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</si>
  <si>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</si>
  <si>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</si>
  <si>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</si>
  <si>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</si>
  <si>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</si>
  <si>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</si>
  <si>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</si>
  <si>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</si>
  <si>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</si>
  <si>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</si>
  <si>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</si>
  <si>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</si>
  <si>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</si>
  <si>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</si>
  <si>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</si>
  <si>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</si>
  <si>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</si>
  <si>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</si>
  <si>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</si>
  <si>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</si>
  <si>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</si>
  <si>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</si>
  <si>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</si>
  <si>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</si>
  <si>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</si>
  <si>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</si>
  <si>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</si>
  <si>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</si>
  <si>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</si>
  <si>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</si>
  <si>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</si>
  <si>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</si>
  <si>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</si>
  <si>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</si>
  <si>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</si>
  <si>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</si>
  <si>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</si>
  <si>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</si>
  <si>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</si>
  <si>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</si>
  <si>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</si>
  <si>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</si>
  <si>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</si>
  <si>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</si>
  <si>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</si>
  <si>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</si>
  <si>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</si>
  <si>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</si>
  <si>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</si>
  <si>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</si>
  <si>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</si>
  <si>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</si>
  <si>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</si>
  <si>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</si>
  <si>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</si>
  <si>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</si>
  <si>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</si>
  <si>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</si>
  <si>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</si>
  <si>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</si>
  <si>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</si>
  <si>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</si>
  <si>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</si>
  <si>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</si>
  <si>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</si>
  <si>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</si>
  <si>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</si>
  <si>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</si>
  <si>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</si>
  <si>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</si>
  <si>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</si>
  <si>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</si>
  <si>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</si>
  <si>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</si>
  <si>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</si>
  <si>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</si>
  <si>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</si>
  <si>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</si>
  <si>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</si>
  <si>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</si>
  <si>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</si>
  <si>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</si>
  <si>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</si>
  <si>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 xml:space="preserve">Daily Labour </t>
  </si>
  <si>
    <t>Total Variable Cost</t>
  </si>
  <si>
    <t>Total Quantity Stored per Annum</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</si>
  <si>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</si>
  <si>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</si>
  <si>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</si>
  <si>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</si>
  <si>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</si>
  <si>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</si>
  <si>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</si>
  <si>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</si>
  <si>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</si>
  <si>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</si>
  <si>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</si>
  <si>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</si>
  <si>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</si>
  <si>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</si>
  <si>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</si>
  <si>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</si>
  <si>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</si>
  <si>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</si>
  <si>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</si>
  <si>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</si>
  <si>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</si>
  <si>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</si>
  <si>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</si>
  <si>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</si>
  <si>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</si>
  <si>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</si>
  <si>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</si>
  <si>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</si>
  <si>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</si>
  <si>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</si>
  <si>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</si>
  <si>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</si>
  <si>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</si>
  <si>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</si>
  <si>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</si>
  <si>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</si>
  <si>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</si>
  <si>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</si>
  <si>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</si>
  <si>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</si>
  <si>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</si>
  <si>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</si>
  <si>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</si>
  <si>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</si>
  <si>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</si>
  <si>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</si>
  <si>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</si>
  <si>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</si>
  <si>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</si>
  <si>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</si>
  <si>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</si>
  <si>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</si>
  <si>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</si>
  <si>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</si>
  <si>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</si>
  <si>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</si>
  <si>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</si>
  <si>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</si>
  <si>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</si>
  <si>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</si>
  <si>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</si>
  <si>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</si>
  <si>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</si>
  <si>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</si>
  <si>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</si>
  <si>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</si>
  <si>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</si>
  <si>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</si>
  <si>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</si>
  <si>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</si>
  <si>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</si>
  <si>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</si>
  <si>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</si>
  <si>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</si>
  <si>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</si>
  <si>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</si>
  <si>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</si>
  <si>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</si>
  <si>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</si>
  <si>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</si>
  <si>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</si>
  <si>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</si>
  <si>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</si>
  <si>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</si>
  <si>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</si>
  <si>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</si>
  <si>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</si>
  <si>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</si>
  <si>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</si>
  <si>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</si>
  <si>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</si>
  <si>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</si>
  <si>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</si>
  <si>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</si>
  <si>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</si>
  <si>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</si>
  <si>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</si>
  <si>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</si>
  <si>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</si>
  <si>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</si>
  <si>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</si>
  <si>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</si>
  <si>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</si>
  <si>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</si>
  <si>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</si>
  <si>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</si>
  <si>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</si>
  <si>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</si>
  <si>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</si>
  <si>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</si>
  <si>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</si>
  <si>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</si>
  <si>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</si>
  <si>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</si>
  <si>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</si>
  <si>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</si>
  <si>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</si>
  <si>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</si>
  <si>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</si>
  <si>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</si>
  <si>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</si>
  <si>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</si>
  <si>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</si>
  <si>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</si>
  <si>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</si>
  <si>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</si>
  <si>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</si>
  <si>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</si>
  <si>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</si>
  <si>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</si>
  <si>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</si>
  <si>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</si>
  <si>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Summer</t>
  </si>
  <si>
    <t xml:space="preserve">Grant (%) </t>
  </si>
  <si>
    <t>Grant Amount (Rs.)</t>
  </si>
  <si>
    <t>Loan Amount (Rs)</t>
  </si>
  <si>
    <t>Loan Tenure in years</t>
  </si>
  <si>
    <t>Moratorium Period ( In Months)</t>
  </si>
  <si>
    <t>Qtls P Hour</t>
  </si>
  <si>
    <t>Quanity for Processing and Trading for PC</t>
  </si>
  <si>
    <t>Grains</t>
  </si>
  <si>
    <t>Fruit and Vegetables</t>
  </si>
  <si>
    <t>Tentative Wastage Percentage</t>
  </si>
  <si>
    <t>Commodity</t>
  </si>
  <si>
    <t>Percentage</t>
  </si>
  <si>
    <t>Green Gram/ Moong</t>
  </si>
  <si>
    <t>Black Gram/Udid</t>
  </si>
  <si>
    <t>Paddy/Rice</t>
  </si>
  <si>
    <t>Red Gram/Tur</t>
  </si>
  <si>
    <t>Sunflower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</si>
  <si>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</si>
  <si>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</si>
  <si>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</si>
  <si>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</si>
  <si>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</si>
  <si>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</si>
  <si>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</si>
  <si>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</si>
  <si>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</si>
  <si>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</si>
  <si>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</si>
  <si>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</si>
  <si>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</si>
  <si>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</si>
  <si>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</si>
  <si>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</si>
  <si>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</si>
  <si>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</si>
  <si>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</si>
  <si>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</si>
  <si>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</si>
  <si>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</si>
  <si>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</si>
  <si>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</si>
  <si>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</si>
  <si>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</si>
  <si>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</si>
  <si>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</si>
  <si>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</si>
  <si>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</si>
  <si>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</si>
  <si>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</si>
  <si>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</si>
  <si>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</si>
  <si>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</si>
  <si>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</si>
  <si>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</si>
  <si>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</si>
  <si>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</si>
  <si>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</si>
  <si>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</si>
  <si>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</si>
  <si>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</si>
  <si>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</si>
  <si>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</si>
  <si>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</si>
  <si>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</si>
  <si>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</si>
  <si>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</si>
  <si>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</si>
  <si>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</si>
  <si>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</si>
  <si>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</si>
  <si>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</si>
  <si>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</si>
  <si>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</si>
  <si>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</si>
  <si>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</si>
  <si>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</si>
  <si>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</si>
  <si>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</si>
  <si>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</si>
  <si>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</si>
  <si>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</si>
  <si>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</si>
  <si>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</si>
  <si>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</si>
  <si>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</si>
  <si>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</si>
  <si>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</si>
  <si>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</si>
  <si>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</si>
  <si>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</si>
  <si>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</si>
  <si>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</si>
  <si>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</si>
  <si>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</si>
  <si>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</si>
  <si>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</si>
  <si>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</si>
  <si>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</si>
  <si>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</si>
  <si>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</si>
  <si>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</si>
  <si>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</si>
  <si>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</si>
  <si>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</si>
  <si>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</si>
  <si>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</si>
  <si>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</si>
  <si>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</si>
  <si>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</si>
  <si>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</si>
  <si>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</si>
  <si>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</si>
  <si>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</si>
  <si>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</si>
  <si>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</si>
  <si>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</si>
  <si>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</si>
  <si>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</si>
  <si>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</si>
  <si>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</si>
  <si>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</si>
  <si>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</si>
  <si>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</si>
  <si>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</si>
  <si>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</si>
  <si>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</si>
  <si>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</si>
  <si>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</si>
  <si>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</si>
  <si>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</si>
  <si>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</si>
  <si>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</si>
  <si>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</si>
  <si>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</si>
  <si>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</si>
  <si>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</si>
  <si>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</si>
  <si>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</si>
  <si>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</si>
  <si>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</si>
  <si>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</si>
  <si>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</si>
  <si>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</si>
  <si>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</si>
  <si>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</si>
  <si>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</si>
  <si>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</si>
  <si>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</si>
  <si>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</si>
  <si>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</si>
  <si>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</si>
  <si>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</si>
  <si>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</si>
  <si>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</si>
  <si>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</si>
  <si>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</si>
  <si>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</si>
  <si>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</si>
  <si>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</si>
  <si>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</si>
  <si>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</si>
  <si>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</si>
  <si>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</si>
  <si>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</si>
  <si>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</si>
  <si>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</si>
  <si>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</si>
  <si>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</si>
  <si>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</si>
  <si>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</si>
  <si>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</si>
  <si>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</si>
  <si>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</si>
  <si>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</si>
  <si>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</si>
  <si>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</si>
  <si>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</si>
  <si>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</si>
  <si>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</si>
  <si>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</si>
  <si>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</si>
  <si>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</si>
  <si>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</si>
  <si>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</si>
  <si>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</si>
  <si>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</si>
  <si>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</si>
  <si>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</si>
  <si>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</si>
  <si>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</si>
  <si>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</si>
  <si>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</si>
  <si>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</si>
  <si>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</si>
  <si>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</si>
  <si>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</si>
  <si>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</si>
  <si>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</si>
  <si>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</si>
  <si>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</si>
  <si>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</si>
  <si>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</si>
  <si>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</si>
  <si>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</si>
  <si>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</si>
  <si>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</si>
  <si>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</si>
  <si>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</si>
  <si>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</si>
  <si>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</si>
  <si>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</si>
  <si>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</si>
  <si>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</si>
  <si>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</si>
  <si>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</si>
  <si>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</si>
  <si>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</si>
  <si>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</si>
  <si>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</si>
  <si>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</si>
  <si>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</si>
  <si>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</si>
  <si>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</si>
  <si>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</si>
  <si>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</si>
  <si>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</si>
  <si>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</si>
  <si>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</si>
  <si>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</si>
  <si>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</si>
  <si>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</si>
  <si>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</si>
  <si>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</si>
  <si>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</si>
  <si>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</si>
  <si>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</si>
  <si>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</si>
  <si>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</si>
  <si>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</si>
  <si>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</si>
  <si>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50% </t>
  </si>
  <si>
    <t xml:space="preserve">The Pack Back Period (Project/ Equity) shall be less than 7 years </t>
  </si>
  <si>
    <t>Less:Dividend</t>
  </si>
  <si>
    <t>Profit After Tax &amp; Dividend</t>
  </si>
  <si>
    <t>Dividend</t>
  </si>
  <si>
    <t>Other</t>
  </si>
  <si>
    <t xml:space="preserve">Own Contribution (=Fixed Assets*10%)+Working Capital ) </t>
  </si>
  <si>
    <t>Increase in account payable</t>
  </si>
  <si>
    <t>Nos</t>
  </si>
  <si>
    <t>Land Lease Registration</t>
  </si>
  <si>
    <t>13.2 Facility 2 - Profit and loss of Grain Processing Unit - Oil Mill</t>
  </si>
  <si>
    <t>Packaging Exp</t>
  </si>
  <si>
    <t>Seed requirement /acre</t>
  </si>
  <si>
    <t>Tally Software</t>
  </si>
  <si>
    <t>Land Development including Electricty &amp; Water etc.</t>
  </si>
  <si>
    <t>Repair &amp; Maint to Machinery</t>
  </si>
  <si>
    <t>Trolly</t>
  </si>
  <si>
    <t>Total No. of Members Cultivating Grain Crops</t>
  </si>
  <si>
    <t>Total No. of Non- members Cultivating Grain Crops</t>
  </si>
  <si>
    <t>Labour</t>
  </si>
  <si>
    <t>Tractor</t>
  </si>
  <si>
    <t>Soyabean</t>
  </si>
  <si>
    <t>Sn</t>
  </si>
  <si>
    <t>Salt</t>
  </si>
  <si>
    <t>Qty (Kg)</t>
  </si>
  <si>
    <t>Rate/Kg</t>
  </si>
  <si>
    <t>50Kg</t>
  </si>
  <si>
    <t>Other Indigriants</t>
  </si>
  <si>
    <t>Amount</t>
  </si>
  <si>
    <t>Other Indigraints</t>
  </si>
  <si>
    <t>Computer 2 Nos (Intel Core I3 4th Gen.)</t>
  </si>
  <si>
    <t>Printer Epson L3250 1 Nos.</t>
  </si>
  <si>
    <t>a]</t>
  </si>
  <si>
    <t>b]</t>
  </si>
  <si>
    <t>c]</t>
  </si>
  <si>
    <t>Products</t>
  </si>
  <si>
    <t>Interest Rate /PA</t>
  </si>
  <si>
    <t>Facility 2 - Grain Processing Unit - Feed Mill</t>
  </si>
  <si>
    <t>Refer Annex1</t>
  </si>
  <si>
    <t>Cattle Feed &amp; Silage</t>
  </si>
  <si>
    <t>Warehouse Supervisor</t>
  </si>
  <si>
    <t>Faclitiy 2 - Processing Unit- Feed Mill</t>
  </si>
  <si>
    <t>40 to 60</t>
  </si>
  <si>
    <t>10 to 15</t>
  </si>
  <si>
    <t>2.5 to 5</t>
  </si>
  <si>
    <t>Feed Mill</t>
  </si>
  <si>
    <t>Industrial Shed</t>
  </si>
  <si>
    <t xml:space="preserve"> </t>
  </si>
  <si>
    <t>Pneumatic Pouch Packing Machine With Asscerories</t>
  </si>
  <si>
    <t>Seed Fine Cleaner Grader</t>
  </si>
  <si>
    <t>Magnetic Seprator Destoner</t>
  </si>
  <si>
    <t>Vertical Bucket Elevator</t>
  </si>
  <si>
    <t>18% GST on above</t>
  </si>
  <si>
    <t>Insurance on above</t>
  </si>
  <si>
    <t>Freight</t>
  </si>
  <si>
    <t>Multigrain Cleaning &amp; Grading Plant -2MT/Hrs</t>
  </si>
  <si>
    <t>RO Plant 1000LPH FRP System</t>
  </si>
  <si>
    <t>Fully Automatic flour Mill - 200 Kg/Hrs.</t>
  </si>
  <si>
    <t>Pasta Making Machine 75Kg/Hrs</t>
  </si>
  <si>
    <t>Automatic Noodle Making Machine 300Kg/Hrs</t>
  </si>
  <si>
    <t>600 Pouch/Hrs</t>
  </si>
  <si>
    <t>Sevai Machine Making Machine 50Kg/Hrs</t>
  </si>
  <si>
    <t>Food Processing Plant</t>
  </si>
  <si>
    <t>Water Harveting Equipments</t>
  </si>
  <si>
    <t>Tractor 50 HP With all Accessories</t>
  </si>
  <si>
    <t>Rotavator 36 Blade</t>
  </si>
  <si>
    <t>Hydrolic plough</t>
  </si>
  <si>
    <t>Wheat</t>
  </si>
  <si>
    <t>Manu</t>
  </si>
  <si>
    <t>Jwar</t>
  </si>
  <si>
    <t>Shevai</t>
  </si>
  <si>
    <t>Jwar Flour</t>
  </si>
  <si>
    <t>Bajari Flour</t>
  </si>
  <si>
    <t>Water</t>
  </si>
  <si>
    <t>Oil</t>
  </si>
  <si>
    <t>Pasta Recipe</t>
  </si>
  <si>
    <t>Noodls Recipe</t>
  </si>
  <si>
    <t>Wheat Flour</t>
  </si>
  <si>
    <t>Shevai Recipe</t>
  </si>
  <si>
    <t>Bajara Flour</t>
  </si>
  <si>
    <t>Qty</t>
  </si>
  <si>
    <t>Gram Flour</t>
  </si>
  <si>
    <t>Corn Flakes</t>
  </si>
  <si>
    <t>Rice Flakes</t>
  </si>
  <si>
    <t>Ground Nuts</t>
  </si>
  <si>
    <t>Tikhat Dal</t>
  </si>
  <si>
    <t>Spices</t>
  </si>
  <si>
    <t>Garlic</t>
  </si>
  <si>
    <t>Farsan Recipe</t>
  </si>
  <si>
    <t>Jawar Flour</t>
  </si>
  <si>
    <t>Other indigrints</t>
  </si>
  <si>
    <t>Value</t>
  </si>
  <si>
    <t xml:space="preserve">Rs. /Per KG </t>
  </si>
  <si>
    <t>PKT SIZE ----&gt;</t>
  </si>
  <si>
    <t>KG</t>
  </si>
  <si>
    <t>Maize (Kharif)</t>
  </si>
  <si>
    <t>Bajra (Kharif)</t>
  </si>
  <si>
    <t>Maize (Rabbi)</t>
  </si>
  <si>
    <t>Gram (Rabbi)</t>
  </si>
  <si>
    <t>Wheat (Rabbi)</t>
  </si>
  <si>
    <t>Maize (Summer)</t>
  </si>
  <si>
    <t>Jawar (Summer)</t>
  </si>
  <si>
    <t>Quantity for sale (100%)</t>
  </si>
  <si>
    <t>Job Work (0%)</t>
  </si>
  <si>
    <t>Maize Bharda</t>
  </si>
  <si>
    <t>For Shevai</t>
  </si>
  <si>
    <t>Shevai Indigriants</t>
  </si>
  <si>
    <t>For Pasta &amp; Noodls</t>
  </si>
  <si>
    <t>Pasta</t>
  </si>
  <si>
    <t>Noodls</t>
  </si>
  <si>
    <t>Noods</t>
  </si>
  <si>
    <t>Bajari</t>
  </si>
  <si>
    <t>Noodls &amp; Pasta Indigriants</t>
  </si>
  <si>
    <t>Farsan</t>
  </si>
  <si>
    <t>Gram</t>
  </si>
  <si>
    <t>Gram Indigriants</t>
  </si>
  <si>
    <t>Sales Officer</t>
  </si>
  <si>
    <t>Ladoo Making &amp; Weghing Machine</t>
  </si>
  <si>
    <t>Roasting  30Kg Capacity</t>
  </si>
  <si>
    <t>Mixing Cum Heating Machine</t>
  </si>
  <si>
    <t>Band sealer</t>
  </si>
  <si>
    <t>Farm Equipments</t>
  </si>
  <si>
    <t>New 50KVA  Transformer with HT Line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</si>
</sst>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 #,##0.0_ ;_ * \-#,##0.0_ ;_ * &quot;-&quot;??_ ;_ @_ "/>
    <numFmt numFmtId="176" formatCode="0.0"/>
    <numFmt numFmtId="177" formatCode="_(* #,##0.000_);_(* \(#,##0.000\);_(* &quot;-&quot;??_);_(@_)"/>
  </numFmts>
  <fonts count="90">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sz val="11"/>
      <color theme="1"/>
      <name val="Cambria"/>
      <family val="1"/>
      <scheme val="major"/>
    </font>
    <font>
      <b/>
      <sz val="11"/>
      <color rgb="FFFFFFFF"/>
      <name val="Cambria"/>
      <family val="1"/>
      <scheme val="major"/>
    </font>
    <font>
      <sz val="11"/>
      <name val="Cambria"/>
      <family val="1"/>
      <scheme val="major"/>
    </font>
    <font>
      <b/>
      <sz val="11"/>
      <color theme="1"/>
      <name val="Cambria"/>
      <family val="1"/>
      <scheme val="major"/>
    </font>
    <font>
      <sz val="11"/>
      <color rgb="FF000000"/>
      <name val="Cambria"/>
      <family val="1"/>
      <scheme val="major"/>
    </font>
    <font>
      <b/>
      <sz val="11"/>
      <color rgb="FF000000"/>
      <name val="Cambria"/>
      <family val="1"/>
      <scheme val="major"/>
    </font>
    <font>
      <b/>
      <sz val="11"/>
      <color rgb="FF202124"/>
      <name val="Cambria"/>
      <family val="1"/>
      <scheme val="major"/>
    </font>
    <font>
      <sz val="10"/>
      <color theme="1"/>
      <name val="Cambria"/>
      <family val="1"/>
      <scheme val="major"/>
    </font>
    <font>
      <b/>
      <sz val="10"/>
      <color theme="1"/>
      <name val="Cambria"/>
      <family val="1"/>
      <scheme val="major"/>
    </font>
    <font>
      <b/>
      <sz val="10"/>
      <color rgb="FFFFFFFF"/>
      <name val="Cambria"/>
      <family val="1"/>
      <scheme val="major"/>
    </font>
    <font>
      <sz val="10"/>
      <color rgb="FF000000"/>
      <name val="Cambria"/>
      <family val="1"/>
      <scheme val="major"/>
    </font>
    <font>
      <b/>
      <sz val="10"/>
      <color rgb="FF000000"/>
      <name val="Cambria"/>
      <family val="1"/>
      <scheme val="major"/>
    </font>
    <font>
      <b/>
      <sz val="14"/>
      <color theme="1"/>
      <name val="Cambria"/>
      <family val="1"/>
      <scheme val="major"/>
    </font>
    <font>
      <b/>
      <sz val="10"/>
      <name val="Cambria"/>
      <family val="1"/>
      <scheme val="major"/>
    </font>
    <font>
      <b/>
      <sz val="11"/>
      <color theme="0"/>
      <name val="Cambria"/>
      <family val="1"/>
      <scheme val="major"/>
    </font>
    <font>
      <b/>
      <sz val="14"/>
      <name val="Cambria"/>
      <family val="1"/>
      <scheme val="major"/>
    </font>
    <font>
      <b/>
      <sz val="11"/>
      <name val="Cambria"/>
      <family val="1"/>
      <scheme val="major"/>
    </font>
    <font>
      <sz val="11"/>
      <color theme="0"/>
      <name val="Cambria"/>
      <family val="1"/>
      <scheme val="major"/>
    </font>
    <font>
      <b/>
      <u/>
      <sz val="11"/>
      <color theme="1"/>
      <name val="Cambria"/>
      <family val="1"/>
      <scheme val="major"/>
    </font>
    <font>
      <b/>
      <u/>
      <sz val="11"/>
      <color rgb="FF7030A0"/>
      <name val="Cambria"/>
      <family val="1"/>
      <scheme val="major"/>
    </font>
    <font>
      <b/>
      <i/>
      <sz val="11"/>
      <color theme="1"/>
      <name val="Cambria"/>
      <family val="1"/>
      <scheme val="major"/>
    </font>
    <font>
      <b/>
      <u/>
      <sz val="11"/>
      <color rgb="FF0070C0"/>
      <name val="Cambria"/>
      <family val="1"/>
      <scheme val="major"/>
    </font>
    <font>
      <b/>
      <sz val="11"/>
      <color rgb="FF0070C0"/>
      <name val="Cambria"/>
      <family val="1"/>
      <scheme val="major"/>
    </font>
    <font>
      <sz val="10"/>
      <color rgb="FFFFFFFF"/>
      <name val="Cambria"/>
      <family val="1"/>
      <scheme val="major"/>
    </font>
    <font>
      <sz val="9"/>
      <color theme="1"/>
      <name val="Cambria"/>
      <family val="1"/>
      <scheme val="major"/>
    </font>
    <font>
      <b/>
      <sz val="9"/>
      <color rgb="FF0070C0"/>
      <name val="Cambria"/>
      <family val="1"/>
      <scheme val="major"/>
    </font>
    <font>
      <b/>
      <u/>
      <sz val="11"/>
      <color rgb="FF000000"/>
      <name val="Cambria"/>
      <family val="1"/>
      <scheme val="major"/>
    </font>
    <font>
      <b/>
      <sz val="9"/>
      <color theme="1"/>
      <name val="Cambria"/>
      <family val="1"/>
      <scheme val="major"/>
    </font>
    <font>
      <b/>
      <sz val="9"/>
      <color theme="0"/>
      <name val="Cambria"/>
      <family val="1"/>
      <scheme val="major"/>
    </font>
    <font>
      <b/>
      <u/>
      <sz val="9"/>
      <color theme="1"/>
      <name val="Cambria"/>
      <family val="1"/>
      <scheme val="major"/>
    </font>
    <font>
      <b/>
      <u/>
      <sz val="9"/>
      <color rgb="FF0070C0"/>
      <name val="Cambria"/>
      <family val="1"/>
      <scheme val="major"/>
    </font>
  </fonts>
  <fills count="19">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99FFCC"/>
        <bgColor indexed="64"/>
      </patternFill>
    </fill>
    <fill>
      <patternFill patternType="solid">
        <fgColor rgb="FFFFCCFF"/>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4" fillId="0" borderId="0" applyNumberFormat="0" applyFill="0" applyBorder="0" applyAlignment="0" applyProtection="0">
      <alignment vertical="top"/>
      <protection locked="0"/>
    </xf>
    <xf numFmtId="172" fontId="1" fillId="0" borderId="0" applyFont="0" applyFill="0" applyBorder="0" applyAlignment="0" applyProtection="0"/>
    <xf numFmtId="43" fontId="16" fillId="0" borderId="0" applyFont="0" applyFill="0" applyBorder="0" applyAlignment="0" applyProtection="0"/>
  </cellStyleXfs>
  <cellXfs count="631">
    <xf numFmtId="0" fontId="0" fillId="0" borderId="0" xfId="0"/>
    <xf numFmtId="2" fontId="0" fillId="0" borderId="0" xfId="0" applyNumberForma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0" fillId="0" borderId="0" xfId="0" applyBorder="1" applyAlignment="1">
      <alignment horizontal="center"/>
    </xf>
    <xf numFmtId="4" fontId="0" fillId="0" borderId="0" xfId="0" applyNumberFormat="1"/>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2" fillId="0" borderId="0" xfId="0" applyFont="1" applyFill="1" applyBorder="1"/>
    <xf numFmtId="43" fontId="0" fillId="0" borderId="0" xfId="0" applyNumberFormat="1"/>
    <xf numFmtId="0" fontId="2" fillId="0" borderId="0" xfId="0" applyFont="1" applyAlignment="1">
      <alignment horizontal="center"/>
    </xf>
    <xf numFmtId="167" fontId="15" fillId="0" borderId="0" xfId="0" applyNumberFormat="1" applyFont="1" applyFill="1" applyBorder="1"/>
    <xf numFmtId="38" fontId="12" fillId="0" borderId="0" xfId="0" applyNumberFormat="1" applyFont="1" applyFill="1" applyBorder="1" applyAlignment="1">
      <alignment horizontal="left"/>
    </xf>
    <xf numFmtId="0" fontId="15" fillId="0" borderId="0" xfId="0" applyFont="1" applyFill="1" applyBorder="1"/>
    <xf numFmtId="0" fontId="17" fillId="0" borderId="0" xfId="8" applyFont="1" applyFill="1" applyBorder="1" applyAlignment="1" applyProtection="1"/>
    <xf numFmtId="0" fontId="16" fillId="0" borderId="6" xfId="0" applyFont="1" applyBorder="1"/>
    <xf numFmtId="174" fontId="12" fillId="0" borderId="0" xfId="9" applyNumberFormat="1" applyFont="1" applyFill="1" applyBorder="1" applyAlignment="1">
      <alignment vertical="center"/>
    </xf>
    <xf numFmtId="167" fontId="15" fillId="0" borderId="0" xfId="3" applyNumberFormat="1" applyFont="1" applyFill="1" applyBorder="1"/>
    <xf numFmtId="0" fontId="12" fillId="0" borderId="6"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5" fillId="0" borderId="0" xfId="0" applyFont="1" applyBorder="1" applyAlignment="1">
      <alignment vertical="center"/>
    </xf>
    <xf numFmtId="0" fontId="15" fillId="0" borderId="0" xfId="0" applyFont="1" applyFill="1" applyBorder="1" applyAlignment="1">
      <alignment vertical="center"/>
    </xf>
    <xf numFmtId="0" fontId="12" fillId="0" borderId="0" xfId="0" applyFont="1" applyBorder="1" applyAlignment="1">
      <alignment vertical="center"/>
    </xf>
    <xf numFmtId="4" fontId="15" fillId="0" borderId="0" xfId="0" applyNumberFormat="1" applyFont="1" applyBorder="1" applyAlignment="1">
      <alignment vertical="center"/>
    </xf>
    <xf numFmtId="0" fontId="19" fillId="2" borderId="1" xfId="0" applyFont="1" applyFill="1" applyBorder="1" applyAlignment="1">
      <alignment wrapText="1"/>
    </xf>
    <xf numFmtId="0" fontId="19" fillId="2" borderId="1" xfId="0" applyFont="1" applyFill="1" applyBorder="1" applyAlignment="1">
      <alignment horizontal="center" wrapText="1"/>
    </xf>
    <xf numFmtId="0" fontId="2" fillId="0" borderId="0" xfId="0" applyFont="1" applyAlignment="1">
      <alignment horizontal="center"/>
    </xf>
    <xf numFmtId="2" fontId="2" fillId="0" borderId="0" xfId="0" applyNumberFormat="1" applyFont="1"/>
    <xf numFmtId="0" fontId="15" fillId="0" borderId="0" xfId="0" applyFont="1"/>
    <xf numFmtId="167" fontId="12" fillId="0" borderId="0" xfId="0" applyNumberFormat="1" applyFont="1"/>
    <xf numFmtId="169" fontId="0" fillId="0" borderId="0" xfId="0" applyNumberFormat="1"/>
    <xf numFmtId="3" fontId="15"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1"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71" fontId="4" fillId="0" borderId="1" xfId="10" applyNumberFormat="1" applyFont="1" applyFill="1" applyBorder="1"/>
    <xf numFmtId="0" fontId="6" fillId="0" borderId="1" xfId="0" applyFont="1" applyFill="1" applyBorder="1"/>
    <xf numFmtId="0" fontId="4" fillId="0" borderId="0" xfId="0" applyFont="1" applyFill="1"/>
    <xf numFmtId="171" fontId="4" fillId="0" borderId="0" xfId="10" applyNumberFormat="1" applyFont="1" applyFill="1"/>
    <xf numFmtId="175" fontId="4" fillId="0" borderId="1" xfId="10" applyNumberFormat="1" applyFont="1" applyFill="1" applyBorder="1"/>
    <xf numFmtId="0" fontId="19" fillId="5" borderId="1" xfId="0" applyFont="1" applyFill="1" applyBorder="1"/>
    <xf numFmtId="0" fontId="19" fillId="5" borderId="1" xfId="0" applyFont="1" applyFill="1" applyBorder="1" applyAlignment="1">
      <alignment horizontal="center"/>
    </xf>
    <xf numFmtId="0" fontId="2" fillId="0" borderId="0" xfId="0" applyFont="1" applyBorder="1" applyAlignment="1"/>
    <xf numFmtId="0" fontId="18" fillId="0" borderId="0" xfId="0" applyFont="1" applyBorder="1" applyAlignment="1">
      <alignment vertical="center"/>
    </xf>
    <xf numFmtId="0" fontId="22" fillId="5" borderId="1" xfId="0" applyFont="1" applyFill="1" applyBorder="1" applyAlignment="1">
      <alignment horizontal="left"/>
    </xf>
    <xf numFmtId="0" fontId="20"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69" fontId="0" fillId="0" borderId="1" xfId="2" applyNumberFormat="1" applyFont="1" applyBorder="1" applyAlignment="1"/>
    <xf numFmtId="0" fontId="25" fillId="0" borderId="0" xfId="0" applyFont="1"/>
    <xf numFmtId="0" fontId="25" fillId="0" borderId="1" xfId="0" applyFont="1" applyBorder="1"/>
    <xf numFmtId="169" fontId="25" fillId="0" borderId="1" xfId="2" applyNumberFormat="1" applyFont="1" applyBorder="1"/>
    <xf numFmtId="0" fontId="26" fillId="0" borderId="1" xfId="0" applyFont="1" applyBorder="1"/>
    <xf numFmtId="169" fontId="26" fillId="0" borderId="1" xfId="0" applyNumberFormat="1" applyFont="1" applyBorder="1"/>
    <xf numFmtId="0" fontId="25" fillId="0" borderId="1" xfId="0" applyFont="1" applyFill="1" applyBorder="1"/>
    <xf numFmtId="169" fontId="26" fillId="0" borderId="1" xfId="2" applyNumberFormat="1" applyFont="1" applyBorder="1" applyAlignment="1"/>
    <xf numFmtId="0" fontId="26" fillId="0" borderId="1" xfId="0" applyFont="1" applyFill="1" applyBorder="1"/>
    <xf numFmtId="2" fontId="26" fillId="0" borderId="1" xfId="0" applyNumberFormat="1" applyFont="1" applyBorder="1"/>
    <xf numFmtId="2" fontId="25" fillId="0" borderId="0" xfId="0" applyNumberFormat="1" applyFont="1"/>
    <xf numFmtId="0" fontId="22" fillId="5" borderId="1" xfId="0" applyFont="1" applyFill="1" applyBorder="1" applyAlignment="1">
      <alignment horizontal="center"/>
    </xf>
    <xf numFmtId="0" fontId="4" fillId="0" borderId="1" xfId="0" applyFont="1" applyBorder="1" applyAlignment="1">
      <alignment horizontal="center"/>
    </xf>
    <xf numFmtId="0" fontId="27"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5" fillId="0" borderId="1" xfId="0" applyFont="1" applyBorder="1" applyAlignment="1">
      <alignment wrapText="1"/>
    </xf>
    <xf numFmtId="2" fontId="25" fillId="0" borderId="1" xfId="0" applyNumberFormat="1" applyFont="1" applyBorder="1"/>
    <xf numFmtId="164" fontId="25" fillId="0" borderId="0" xfId="0" applyNumberFormat="1" applyFont="1"/>
    <xf numFmtId="169" fontId="25" fillId="0" borderId="0" xfId="2" applyNumberFormat="1" applyFont="1"/>
    <xf numFmtId="0" fontId="22" fillId="5" borderId="1" xfId="0" applyFont="1" applyFill="1" applyBorder="1"/>
    <xf numFmtId="9" fontId="25" fillId="0" borderId="1" xfId="1" applyFont="1" applyBorder="1"/>
    <xf numFmtId="169" fontId="26" fillId="0" borderId="1" xfId="2" applyNumberFormat="1" applyFont="1" applyBorder="1"/>
    <xf numFmtId="0" fontId="26" fillId="0" borderId="0" xfId="0" applyFont="1"/>
    <xf numFmtId="10" fontId="26" fillId="0" borderId="0" xfId="1" applyNumberFormat="1" applyFont="1"/>
    <xf numFmtId="0" fontId="19" fillId="2" borderId="13" xfId="0" applyFont="1" applyFill="1" applyBorder="1" applyAlignment="1">
      <alignment vertical="center"/>
    </xf>
    <xf numFmtId="0" fontId="19" fillId="2" borderId="9" xfId="0" applyFont="1" applyFill="1" applyBorder="1" applyAlignment="1">
      <alignment horizontal="center"/>
    </xf>
    <xf numFmtId="0" fontId="19" fillId="2" borderId="1" xfId="0" applyFont="1" applyFill="1" applyBorder="1" applyAlignment="1">
      <alignment horizontal="center"/>
    </xf>
    <xf numFmtId="0" fontId="27" fillId="0" borderId="3" xfId="0" applyFont="1" applyFill="1" applyBorder="1" applyAlignment="1">
      <alignment vertical="center"/>
    </xf>
    <xf numFmtId="37" fontId="28" fillId="0" borderId="1" xfId="3" applyNumberFormat="1" applyFont="1" applyFill="1" applyBorder="1" applyAlignment="1">
      <alignment vertical="center"/>
    </xf>
    <xf numFmtId="3" fontId="29" fillId="0" borderId="1" xfId="9" applyNumberFormat="1" applyFont="1" applyFill="1" applyBorder="1" applyAlignment="1">
      <alignment horizontal="right" vertical="center"/>
    </xf>
    <xf numFmtId="0" fontId="30" fillId="0" borderId="3" xfId="0" applyFont="1" applyFill="1" applyBorder="1" applyAlignment="1">
      <alignment vertical="center"/>
    </xf>
    <xf numFmtId="4" fontId="27" fillId="0" borderId="1" xfId="3" applyNumberFormat="1" applyFont="1" applyFill="1" applyBorder="1" applyAlignment="1">
      <alignment vertical="center"/>
    </xf>
    <xf numFmtId="0" fontId="28" fillId="0" borderId="3" xfId="0" applyFont="1" applyFill="1" applyBorder="1" applyAlignment="1">
      <alignment horizontal="left" vertical="center"/>
    </xf>
    <xf numFmtId="4" fontId="31" fillId="0" borderId="1" xfId="3" applyNumberFormat="1" applyFont="1" applyFill="1" applyBorder="1" applyAlignment="1">
      <alignment vertical="center"/>
    </xf>
    <xf numFmtId="0" fontId="28" fillId="0" borderId="3" xfId="0" applyFont="1" applyFill="1" applyBorder="1" applyAlignment="1">
      <alignment horizontal="left" vertical="center" indent="1"/>
    </xf>
    <xf numFmtId="3" fontId="28" fillId="0" borderId="1" xfId="3" applyNumberFormat="1" applyFont="1" applyFill="1" applyBorder="1" applyAlignment="1">
      <alignment vertical="center"/>
    </xf>
    <xf numFmtId="0" fontId="27" fillId="0" borderId="3" xfId="0" applyFont="1" applyFill="1" applyBorder="1" applyAlignment="1">
      <alignment horizontal="left" vertical="center" indent="1"/>
    </xf>
    <xf numFmtId="3" fontId="27" fillId="0" borderId="1" xfId="3" applyNumberFormat="1" applyFont="1" applyFill="1" applyBorder="1" applyAlignment="1">
      <alignment vertical="center"/>
    </xf>
    <xf numFmtId="0" fontId="27" fillId="0" borderId="3" xfId="0" applyFont="1" applyFill="1" applyBorder="1" applyAlignment="1">
      <alignment horizontal="left" vertical="center"/>
    </xf>
    <xf numFmtId="0" fontId="28" fillId="0" borderId="3" xfId="0" applyFont="1" applyFill="1" applyBorder="1" applyAlignment="1">
      <alignment vertical="center"/>
    </xf>
    <xf numFmtId="3" fontId="28" fillId="0" borderId="1" xfId="9" applyNumberFormat="1" applyFont="1" applyFill="1" applyBorder="1" applyAlignment="1">
      <alignment vertical="center"/>
    </xf>
    <xf numFmtId="3" fontId="27" fillId="0" borderId="1" xfId="9"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3" applyNumberFormat="1" applyFont="1" applyFill="1" applyBorder="1" applyAlignment="1">
      <alignment vertical="center"/>
    </xf>
    <xf numFmtId="3" fontId="27" fillId="0" borderId="1" xfId="0" applyNumberFormat="1" applyFont="1" applyFill="1" applyBorder="1" applyAlignment="1">
      <alignment vertical="center"/>
    </xf>
    <xf numFmtId="0" fontId="6" fillId="0" borderId="3" xfId="0" applyFont="1" applyFill="1" applyBorder="1" applyAlignment="1">
      <alignment vertical="center"/>
    </xf>
    <xf numFmtId="3" fontId="6" fillId="0" borderId="1" xfId="3" applyNumberFormat="1" applyFont="1" applyFill="1" applyBorder="1" applyAlignment="1">
      <alignment vertical="center"/>
    </xf>
    <xf numFmtId="4" fontId="27" fillId="0" borderId="1" xfId="0" applyNumberFormat="1" applyFont="1" applyFill="1" applyBorder="1" applyAlignment="1">
      <alignment vertical="center"/>
    </xf>
    <xf numFmtId="0" fontId="32" fillId="0" borderId="3" xfId="0" applyFont="1" applyFill="1" applyBorder="1" applyAlignment="1">
      <alignment vertical="center"/>
    </xf>
    <xf numFmtId="4" fontId="33" fillId="0" borderId="1" xfId="0" applyNumberFormat="1" applyFont="1" applyFill="1" applyBorder="1" applyAlignment="1">
      <alignment vertical="center"/>
    </xf>
    <xf numFmtId="0" fontId="34" fillId="0" borderId="3" xfId="0" applyFont="1" applyFill="1" applyBorder="1" applyAlignment="1">
      <alignment vertical="center"/>
    </xf>
    <xf numFmtId="4" fontId="34" fillId="0" borderId="1" xfId="9" applyNumberFormat="1" applyFont="1" applyFill="1" applyBorder="1" applyAlignment="1">
      <alignment vertical="center"/>
    </xf>
    <xf numFmtId="0" fontId="34" fillId="0" borderId="4" xfId="0" applyFont="1" applyFill="1" applyBorder="1" applyAlignment="1">
      <alignment vertical="center"/>
    </xf>
    <xf numFmtId="4" fontId="34" fillId="0" borderId="5" xfId="0" applyNumberFormat="1" applyFont="1" applyFill="1" applyBorder="1" applyAlignment="1">
      <alignment vertical="center"/>
    </xf>
    <xf numFmtId="0" fontId="19" fillId="2" borderId="1" xfId="0" applyFont="1" applyFill="1" applyBorder="1"/>
    <xf numFmtId="0" fontId="13" fillId="0" borderId="0" xfId="6" applyFont="1" applyFill="1" applyBorder="1" applyAlignment="1">
      <alignment horizontal="center"/>
    </xf>
    <xf numFmtId="0" fontId="13" fillId="0" borderId="0" xfId="6" applyFont="1" applyFill="1" applyBorder="1" applyAlignment="1"/>
    <xf numFmtId="173" fontId="27" fillId="0" borderId="1" xfId="9" applyNumberFormat="1" applyFont="1" applyFill="1" applyBorder="1" applyAlignment="1">
      <alignment vertical="center"/>
    </xf>
    <xf numFmtId="0" fontId="19" fillId="5" borderId="1" xfId="0" applyFont="1" applyFill="1" applyBorder="1" applyAlignment="1">
      <alignment vertical="center"/>
    </xf>
    <xf numFmtId="0" fontId="19" fillId="5" borderId="1" xfId="0" applyFont="1" applyFill="1" applyBorder="1" applyAlignment="1">
      <alignment horizontal="center" vertical="center"/>
    </xf>
    <xf numFmtId="167" fontId="22" fillId="5" borderId="1" xfId="3" applyNumberFormat="1" applyFont="1" applyFill="1" applyBorder="1" applyAlignment="1">
      <alignment horizontal="center"/>
    </xf>
    <xf numFmtId="0" fontId="28" fillId="0" borderId="1" xfId="0" applyFont="1" applyBorder="1" applyAlignment="1">
      <alignment vertical="center"/>
    </xf>
    <xf numFmtId="0" fontId="28" fillId="0" borderId="1" xfId="0" applyFont="1" applyBorder="1" applyAlignment="1">
      <alignment horizontal="center" vertical="center"/>
    </xf>
    <xf numFmtId="167" fontId="27" fillId="0" borderId="1" xfId="3" applyNumberFormat="1" applyFont="1" applyFill="1" applyBorder="1"/>
    <xf numFmtId="0" fontId="28" fillId="0" borderId="1" xfId="0" applyFont="1" applyBorder="1"/>
    <xf numFmtId="0" fontId="27" fillId="0" borderId="1" xfId="0" applyFont="1" applyBorder="1"/>
    <xf numFmtId="167" fontId="28" fillId="0" borderId="1" xfId="0" applyNumberFormat="1" applyFont="1" applyBorder="1"/>
    <xf numFmtId="0" fontId="6" fillId="2" borderId="1" xfId="0" applyFont="1" applyFill="1" applyBorder="1"/>
    <xf numFmtId="0" fontId="36" fillId="0" borderId="1" xfId="0" applyFont="1" applyFill="1" applyBorder="1"/>
    <xf numFmtId="0" fontId="37" fillId="0" borderId="1" xfId="0" applyFont="1" applyFill="1" applyBorder="1" applyAlignment="1">
      <alignment horizontal="center"/>
    </xf>
    <xf numFmtId="0" fontId="25" fillId="0" borderId="1" xfId="0" applyFont="1" applyFill="1" applyBorder="1" applyAlignment="1">
      <alignment horizontal="left"/>
    </xf>
    <xf numFmtId="0" fontId="6" fillId="0" borderId="1" xfId="0" applyFont="1" applyFill="1" applyBorder="1" applyAlignment="1">
      <alignment horizontal="left"/>
    </xf>
    <xf numFmtId="167" fontId="27" fillId="0" borderId="1" xfId="0" applyNumberFormat="1" applyFont="1" applyFill="1" applyBorder="1"/>
    <xf numFmtId="167" fontId="28" fillId="0" borderId="1" xfId="0" applyNumberFormat="1" applyFont="1" applyFill="1" applyBorder="1"/>
    <xf numFmtId="0" fontId="19" fillId="2" borderId="1" xfId="8" applyFont="1" applyFill="1" applyBorder="1" applyAlignment="1" applyProtection="1"/>
    <xf numFmtId="0" fontId="6" fillId="0" borderId="1" xfId="0" applyFont="1" applyFill="1" applyBorder="1" applyAlignment="1">
      <alignment horizontal="center"/>
    </xf>
    <xf numFmtId="0" fontId="25" fillId="0" borderId="0" xfId="0" applyFont="1" applyAlignment="1">
      <alignment horizontal="left"/>
    </xf>
    <xf numFmtId="167" fontId="27"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5" fillId="0" borderId="0" xfId="0" applyNumberFormat="1" applyFont="1" applyBorder="1"/>
    <xf numFmtId="0" fontId="25" fillId="0" borderId="0" xfId="0" applyFont="1" applyFill="1" applyBorder="1" applyAlignment="1">
      <alignment wrapText="1"/>
    </xf>
    <xf numFmtId="9" fontId="25" fillId="0" borderId="0" xfId="0" applyNumberFormat="1" applyFont="1"/>
    <xf numFmtId="9" fontId="25" fillId="0" borderId="0" xfId="0" applyNumberFormat="1" applyFont="1" applyBorder="1"/>
    <xf numFmtId="9" fontId="25" fillId="0" borderId="0" xfId="0" applyNumberFormat="1" applyFont="1" applyFill="1" applyBorder="1"/>
    <xf numFmtId="9" fontId="25" fillId="0" borderId="0" xfId="1" applyFont="1"/>
    <xf numFmtId="10" fontId="25" fillId="0" borderId="0" xfId="0" applyNumberFormat="1" applyFont="1"/>
    <xf numFmtId="0" fontId="25" fillId="0" borderId="0" xfId="0" applyFont="1" applyBorder="1"/>
    <xf numFmtId="0" fontId="25" fillId="0" borderId="0" xfId="0" applyFont="1" applyFill="1" applyBorder="1"/>
    <xf numFmtId="9" fontId="25" fillId="0" borderId="1" xfId="0" applyNumberFormat="1" applyFont="1" applyBorder="1"/>
    <xf numFmtId="43" fontId="25" fillId="0" borderId="1" xfId="0" applyNumberFormat="1" applyFont="1" applyBorder="1"/>
    <xf numFmtId="0" fontId="26" fillId="0" borderId="0" xfId="0" applyFont="1" applyAlignment="1">
      <alignment horizontal="center"/>
    </xf>
    <xf numFmtId="9" fontId="26" fillId="0" borderId="0" xfId="0" applyNumberFormat="1" applyFont="1" applyAlignment="1">
      <alignment horizontal="center"/>
    </xf>
    <xf numFmtId="10" fontId="26" fillId="0" borderId="0" xfId="0" applyNumberFormat="1" applyFont="1" applyAlignment="1">
      <alignment horizontal="center"/>
    </xf>
    <xf numFmtId="169" fontId="25" fillId="0" borderId="1" xfId="2" applyNumberFormat="1" applyFont="1" applyFill="1" applyBorder="1"/>
    <xf numFmtId="0" fontId="26" fillId="0" borderId="1" xfId="0" applyFont="1" applyBorder="1" applyAlignment="1">
      <alignment wrapText="1"/>
    </xf>
    <xf numFmtId="169" fontId="25" fillId="0" borderId="1" xfId="0" applyNumberFormat="1" applyFont="1" applyBorder="1"/>
    <xf numFmtId="167" fontId="25" fillId="0" borderId="1" xfId="3" applyNumberFormat="1" applyFont="1" applyFill="1" applyBorder="1"/>
    <xf numFmtId="167" fontId="25" fillId="0" borderId="1" xfId="0" applyNumberFormat="1" applyFont="1" applyFill="1" applyBorder="1"/>
    <xf numFmtId="167" fontId="25" fillId="0" borderId="0" xfId="0" applyNumberFormat="1" applyFont="1"/>
    <xf numFmtId="169" fontId="25" fillId="0" borderId="11" xfId="2" applyNumberFormat="1" applyFont="1" applyBorder="1"/>
    <xf numFmtId="169" fontId="26" fillId="0" borderId="1" xfId="2" applyNumberFormat="1" applyFont="1" applyBorder="1" applyAlignment="1">
      <alignment wrapText="1"/>
    </xf>
    <xf numFmtId="0" fontId="24" fillId="0" borderId="0" xfId="0" applyFont="1" applyAlignment="1"/>
    <xf numFmtId="165" fontId="25" fillId="0" borderId="0" xfId="0" applyNumberFormat="1" applyFont="1"/>
    <xf numFmtId="0" fontId="19" fillId="2" borderId="1" xfId="0" applyFont="1" applyFill="1" applyBorder="1" applyAlignment="1">
      <alignment horizontal="right"/>
    </xf>
    <xf numFmtId="2" fontId="19" fillId="2" borderId="1" xfId="0" applyNumberFormat="1" applyFont="1" applyFill="1" applyBorder="1" applyAlignment="1">
      <alignment horizontal="right"/>
    </xf>
    <xf numFmtId="0" fontId="38" fillId="2" borderId="1" xfId="0" applyFont="1" applyFill="1" applyBorder="1" applyAlignment="1">
      <alignment horizontal="center" vertical="center" wrapText="1"/>
    </xf>
    <xf numFmtId="0" fontId="39" fillId="0" borderId="1" xfId="0" applyFont="1" applyBorder="1" applyAlignment="1">
      <alignment horizontal="righ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169" fontId="27" fillId="0" borderId="1" xfId="2"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Fill="1" applyBorder="1" applyAlignment="1">
      <alignment vertical="center" wrapText="1"/>
    </xf>
    <xf numFmtId="169" fontId="39" fillId="0" borderId="1" xfId="2" applyNumberFormat="1" applyFont="1" applyFill="1" applyBorder="1" applyAlignment="1">
      <alignment horizontal="right" vertical="center" wrapText="1"/>
    </xf>
    <xf numFmtId="0" fontId="39" fillId="0" borderId="1" xfId="0" applyFont="1" applyFill="1" applyBorder="1" applyAlignment="1">
      <alignment vertical="center" wrapText="1"/>
    </xf>
    <xf numFmtId="169" fontId="40" fillId="0" borderId="1" xfId="2" applyNumberFormat="1" applyFont="1" applyFill="1" applyBorder="1" applyAlignment="1">
      <alignment horizontal="right" vertical="center" wrapText="1"/>
    </xf>
    <xf numFmtId="0" fontId="25" fillId="6" borderId="1" xfId="0" applyFont="1" applyFill="1" applyBorder="1"/>
    <xf numFmtId="0" fontId="26" fillId="6" borderId="1" xfId="0" applyFont="1" applyFill="1" applyBorder="1"/>
    <xf numFmtId="0" fontId="25" fillId="6" borderId="0" xfId="0" applyFont="1" applyFill="1"/>
    <xf numFmtId="0" fontId="27" fillId="6" borderId="0" xfId="0" applyFont="1" applyFill="1"/>
    <xf numFmtId="0" fontId="28" fillId="6" borderId="1" xfId="0" applyFont="1" applyFill="1" applyBorder="1"/>
    <xf numFmtId="0" fontId="27" fillId="6" borderId="1" xfId="0" applyFont="1" applyFill="1" applyBorder="1"/>
    <xf numFmtId="2" fontId="27" fillId="6" borderId="1" xfId="0" applyNumberFormat="1" applyFont="1" applyFill="1" applyBorder="1"/>
    <xf numFmtId="176" fontId="27" fillId="6" borderId="1" xfId="0" applyNumberFormat="1" applyFont="1" applyFill="1" applyBorder="1"/>
    <xf numFmtId="2" fontId="28" fillId="6" borderId="1" xfId="0" applyNumberFormat="1" applyFont="1" applyFill="1" applyBorder="1"/>
    <xf numFmtId="169" fontId="25" fillId="6" borderId="1" xfId="2" applyNumberFormat="1" applyFont="1" applyFill="1" applyBorder="1"/>
    <xf numFmtId="167" fontId="25" fillId="6" borderId="1" xfId="3" applyNumberFormat="1" applyFont="1" applyFill="1" applyBorder="1"/>
    <xf numFmtId="0" fontId="25" fillId="6" borderId="1" xfId="0" applyFont="1" applyFill="1" applyBorder="1" applyAlignment="1">
      <alignment wrapText="1"/>
    </xf>
    <xf numFmtId="169" fontId="25" fillId="6" borderId="1" xfId="2" applyNumberFormat="1" applyFont="1" applyFill="1" applyBorder="1" applyAlignment="1">
      <alignment wrapText="1"/>
    </xf>
    <xf numFmtId="169" fontId="26" fillId="6" borderId="1" xfId="2" applyNumberFormat="1" applyFont="1" applyFill="1" applyBorder="1"/>
    <xf numFmtId="0" fontId="40" fillId="0" borderId="1" xfId="0" applyFont="1" applyBorder="1" applyAlignment="1">
      <alignment horizontal="center" vertical="center" wrapText="1"/>
    </xf>
    <xf numFmtId="174" fontId="25" fillId="0" borderId="0" xfId="0" applyNumberFormat="1" applyFont="1"/>
    <xf numFmtId="169" fontId="0" fillId="0" borderId="1" xfId="0" applyNumberFormat="1" applyFont="1" applyBorder="1"/>
    <xf numFmtId="0" fontId="26"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6" fillId="0" borderId="0" xfId="0" applyFont="1" applyBorder="1"/>
    <xf numFmtId="169" fontId="26" fillId="0" borderId="0" xfId="2" applyNumberFormat="1" applyFont="1" applyBorder="1"/>
    <xf numFmtId="0" fontId="39" fillId="0" borderId="1" xfId="0" applyFont="1" applyBorder="1" applyAlignment="1">
      <alignment horizontal="center" vertical="center" wrapText="1"/>
    </xf>
    <xf numFmtId="9" fontId="2" fillId="7" borderId="0" xfId="0" applyNumberFormat="1" applyFont="1" applyFill="1"/>
    <xf numFmtId="9" fontId="25" fillId="7" borderId="1" xfId="0" applyNumberFormat="1" applyFont="1" applyFill="1" applyBorder="1"/>
    <xf numFmtId="0" fontId="25" fillId="7" borderId="0" xfId="0" applyFont="1" applyFill="1"/>
    <xf numFmtId="9" fontId="12" fillId="7" borderId="0" xfId="1" applyFont="1" applyFill="1" applyBorder="1"/>
    <xf numFmtId="0" fontId="0" fillId="6" borderId="1" xfId="0" applyFill="1" applyBorder="1"/>
    <xf numFmtId="0" fontId="41" fillId="0" borderId="0" xfId="0" applyFont="1"/>
    <xf numFmtId="0" fontId="0" fillId="0" borderId="0" xfId="0" applyAlignment="1">
      <alignment wrapText="1"/>
    </xf>
    <xf numFmtId="0" fontId="49" fillId="5" borderId="1" xfId="0" applyFont="1" applyFill="1" applyBorder="1"/>
    <xf numFmtId="0" fontId="49" fillId="5" borderId="1" xfId="0" applyFont="1" applyFill="1" applyBorder="1" applyAlignment="1">
      <alignment wrapText="1"/>
    </xf>
    <xf numFmtId="0" fontId="0" fillId="0" borderId="1" xfId="0" applyBorder="1" applyAlignment="1">
      <alignment horizontal="center"/>
    </xf>
    <xf numFmtId="0" fontId="49"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5" fillId="0" borderId="1" xfId="0" applyFont="1" applyFill="1" applyBorder="1" applyAlignment="1">
      <alignment wrapText="1"/>
    </xf>
    <xf numFmtId="169" fontId="25" fillId="0" borderId="0" xfId="2" applyNumberFormat="1" applyFont="1" applyBorder="1"/>
    <xf numFmtId="0" fontId="2" fillId="0" borderId="0" xfId="0" applyFont="1" applyAlignment="1">
      <alignment horizontal="center"/>
    </xf>
    <xf numFmtId="0" fontId="26" fillId="0" borderId="0" xfId="0" applyFont="1" applyAlignment="1">
      <alignment horizontal="center"/>
    </xf>
    <xf numFmtId="0" fontId="25" fillId="7" borderId="1" xfId="0" applyFont="1" applyFill="1" applyBorder="1"/>
    <xf numFmtId="0" fontId="26"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5" fillId="0" borderId="1" xfId="0" applyNumberFormat="1" applyFont="1" applyBorder="1"/>
    <xf numFmtId="0" fontId="47" fillId="0" borderId="0" xfId="0" applyFont="1" applyAlignment="1"/>
    <xf numFmtId="0" fontId="28" fillId="5" borderId="1" xfId="0" applyFont="1" applyFill="1" applyBorder="1"/>
    <xf numFmtId="0" fontId="52" fillId="0" borderId="0" xfId="0" applyFont="1" applyAlignment="1"/>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1" xfId="0" applyFill="1" applyBorder="1" applyAlignment="1">
      <alignment vertical="center" wrapText="1"/>
    </xf>
    <xf numFmtId="0" fontId="0" fillId="7" borderId="11" xfId="0" applyFill="1" applyBorder="1" applyAlignment="1">
      <alignmen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58"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25" fillId="0" borderId="0" xfId="0" applyNumberFormat="1" applyFont="1" applyFill="1" applyBorder="1"/>
    <xf numFmtId="0" fontId="25" fillId="0" borderId="9" xfId="0" applyFont="1" applyBorder="1"/>
    <xf numFmtId="169" fontId="25" fillId="6" borderId="9" xfId="2" applyNumberFormat="1" applyFont="1" applyFill="1" applyBorder="1"/>
    <xf numFmtId="169" fontId="25" fillId="0" borderId="9" xfId="2" applyNumberFormat="1" applyFont="1" applyBorder="1"/>
    <xf numFmtId="169" fontId="25" fillId="0" borderId="0" xfId="0" applyNumberFormat="1" applyFont="1" applyBorder="1"/>
    <xf numFmtId="169" fontId="0" fillId="0" borderId="1" xfId="0" applyNumberFormat="1" applyBorder="1"/>
    <xf numFmtId="173" fontId="28" fillId="0" borderId="1" xfId="9" applyNumberFormat="1" applyFont="1" applyFill="1" applyBorder="1" applyAlignment="1">
      <alignment horizontal="right" vertical="center"/>
    </xf>
    <xf numFmtId="0" fontId="59" fillId="0" borderId="0" xfId="0" applyFont="1"/>
    <xf numFmtId="0" fontId="60" fillId="2" borderId="1" xfId="0" applyFont="1" applyFill="1" applyBorder="1" applyAlignment="1">
      <alignment horizontal="center" vertical="center" wrapText="1"/>
    </xf>
    <xf numFmtId="0" fontId="61" fillId="6" borderId="1" xfId="0" applyFont="1" applyFill="1" applyBorder="1" applyAlignment="1">
      <alignment vertical="center" wrapText="1"/>
    </xf>
    <xf numFmtId="0" fontId="59" fillId="6" borderId="1" xfId="0" applyFont="1" applyFill="1" applyBorder="1" applyAlignment="1">
      <alignment vertical="center" wrapText="1"/>
    </xf>
    <xf numFmtId="169" fontId="61" fillId="6" borderId="1" xfId="2" applyNumberFormat="1" applyFont="1" applyFill="1" applyBorder="1" applyAlignment="1">
      <alignment horizontal="left" vertical="center" wrapText="1"/>
    </xf>
    <xf numFmtId="169" fontId="61" fillId="6" borderId="1" xfId="2" applyNumberFormat="1" applyFont="1" applyFill="1" applyBorder="1" applyAlignment="1">
      <alignment vertical="center" wrapText="1"/>
    </xf>
    <xf numFmtId="169" fontId="61" fillId="6" borderId="1" xfId="2" applyNumberFormat="1" applyFont="1" applyFill="1" applyBorder="1" applyAlignment="1">
      <alignment horizontal="right" vertical="center" wrapText="1"/>
    </xf>
    <xf numFmtId="167" fontId="62" fillId="0" borderId="1" xfId="3" applyNumberFormat="1" applyFont="1" applyBorder="1" applyAlignment="1">
      <alignment horizontal="right" vertical="center" wrapText="1"/>
    </xf>
    <xf numFmtId="0" fontId="59" fillId="0" borderId="0" xfId="0" applyFont="1" applyAlignment="1">
      <alignment horizontal="center"/>
    </xf>
    <xf numFmtId="0" fontId="63" fillId="6" borderId="1" xfId="0" applyFont="1" applyFill="1" applyBorder="1" applyAlignment="1">
      <alignment horizontal="center" vertical="center" wrapText="1"/>
    </xf>
    <xf numFmtId="0" fontId="59" fillId="6" borderId="1" xfId="0" applyFont="1" applyFill="1" applyBorder="1"/>
    <xf numFmtId="167" fontId="63" fillId="6" borderId="1" xfId="3" applyNumberFormat="1" applyFont="1" applyFill="1" applyBorder="1" applyAlignment="1">
      <alignment horizontal="right" vertical="center" wrapText="1"/>
    </xf>
    <xf numFmtId="0" fontId="64" fillId="6" borderId="1" xfId="0" applyFont="1" applyFill="1" applyBorder="1" applyAlignment="1">
      <alignment vertical="center" wrapText="1"/>
    </xf>
    <xf numFmtId="169" fontId="64" fillId="6" borderId="1" xfId="2" applyNumberFormat="1" applyFont="1" applyFill="1" applyBorder="1" applyAlignment="1">
      <alignment horizontal="right" vertical="center" wrapText="1"/>
    </xf>
    <xf numFmtId="0" fontId="62" fillId="6" borderId="1" xfId="0" applyFont="1" applyFill="1" applyBorder="1"/>
    <xf numFmtId="167" fontId="64" fillId="6" borderId="1" xfId="3" applyNumberFormat="1" applyFont="1" applyFill="1" applyBorder="1" applyAlignment="1">
      <alignment horizontal="right" vertical="center" wrapText="1"/>
    </xf>
    <xf numFmtId="0" fontId="63" fillId="6" borderId="1" xfId="0" applyFont="1" applyFill="1" applyBorder="1" applyAlignment="1">
      <alignment vertical="center" wrapText="1"/>
    </xf>
    <xf numFmtId="0" fontId="59" fillId="0" borderId="1" xfId="0" applyFont="1" applyFill="1" applyBorder="1"/>
    <xf numFmtId="167" fontId="64" fillId="0" borderId="1" xfId="3" applyNumberFormat="1" applyFont="1" applyFill="1" applyBorder="1" applyAlignment="1">
      <alignment horizontal="right" vertical="center" wrapText="1"/>
    </xf>
    <xf numFmtId="166" fontId="59" fillId="0" borderId="0" xfId="0" applyNumberFormat="1" applyFont="1"/>
    <xf numFmtId="166" fontId="59" fillId="0" borderId="0" xfId="3" applyFont="1"/>
    <xf numFmtId="0" fontId="60" fillId="2" borderId="1" xfId="0" applyFont="1" applyFill="1" applyBorder="1" applyAlignment="1">
      <alignment vertical="center" wrapText="1"/>
    </xf>
    <xf numFmtId="167" fontId="63" fillId="6" borderId="1" xfId="3" applyNumberFormat="1" applyFont="1" applyFill="1" applyBorder="1" applyAlignment="1">
      <alignment horizontal="center" vertical="center" wrapText="1"/>
    </xf>
    <xf numFmtId="167" fontId="64" fillId="0" borderId="1" xfId="3" applyNumberFormat="1" applyFont="1" applyBorder="1" applyAlignment="1">
      <alignment horizontal="right" vertical="center" wrapText="1"/>
    </xf>
    <xf numFmtId="0" fontId="62" fillId="0" borderId="0" xfId="0" applyFont="1" applyAlignment="1">
      <alignment horizontal="center"/>
    </xf>
    <xf numFmtId="0" fontId="61" fillId="13" borderId="1" xfId="0" applyFont="1" applyFill="1" applyBorder="1" applyAlignment="1">
      <alignment horizontal="center" vertical="center" wrapText="1"/>
    </xf>
    <xf numFmtId="0" fontId="61" fillId="13" borderId="1" xfId="0" applyFont="1" applyFill="1" applyBorder="1" applyAlignment="1">
      <alignment vertical="center" wrapText="1"/>
    </xf>
    <xf numFmtId="169" fontId="61" fillId="13" borderId="1" xfId="2" applyNumberFormat="1" applyFont="1" applyFill="1" applyBorder="1" applyAlignment="1">
      <alignment horizontal="left" vertical="center" wrapText="1"/>
    </xf>
    <xf numFmtId="169" fontId="61" fillId="13" borderId="1" xfId="2" applyNumberFormat="1" applyFont="1" applyFill="1" applyBorder="1" applyAlignment="1">
      <alignment horizontal="right" vertical="center" wrapText="1"/>
    </xf>
    <xf numFmtId="0" fontId="59" fillId="13" borderId="1" xfId="0" applyFont="1" applyFill="1" applyBorder="1" applyAlignment="1">
      <alignment vertical="center" wrapText="1"/>
    </xf>
    <xf numFmtId="169" fontId="61" fillId="13" borderId="1" xfId="2" applyNumberFormat="1" applyFont="1" applyFill="1" applyBorder="1" applyAlignment="1">
      <alignment vertical="center" wrapText="1"/>
    </xf>
    <xf numFmtId="0" fontId="64" fillId="13" borderId="1" xfId="0" applyFont="1" applyFill="1" applyBorder="1" applyAlignment="1">
      <alignment vertical="center" wrapText="1"/>
    </xf>
    <xf numFmtId="0" fontId="63" fillId="13" borderId="1" xfId="0" applyFont="1" applyFill="1" applyBorder="1" applyAlignment="1">
      <alignment vertical="center" wrapText="1"/>
    </xf>
    <xf numFmtId="0" fontId="63" fillId="13" borderId="1" xfId="0" applyFont="1" applyFill="1" applyBorder="1" applyAlignment="1">
      <alignment horizontal="center" vertical="center" wrapText="1"/>
    </xf>
    <xf numFmtId="167" fontId="63" fillId="13" borderId="1" xfId="3" applyNumberFormat="1" applyFont="1" applyFill="1" applyBorder="1" applyAlignment="1">
      <alignment horizontal="right" vertical="center" wrapText="1"/>
    </xf>
    <xf numFmtId="0" fontId="59" fillId="13" borderId="1" xfId="0" applyFont="1" applyFill="1" applyBorder="1"/>
    <xf numFmtId="169" fontId="63" fillId="13" borderId="1" xfId="2" applyNumberFormat="1" applyFont="1" applyFill="1" applyBorder="1" applyAlignment="1">
      <alignment horizontal="center" vertical="center" wrapText="1"/>
    </xf>
    <xf numFmtId="169" fontId="63" fillId="13" borderId="1" xfId="2" applyNumberFormat="1" applyFont="1" applyFill="1" applyBorder="1" applyAlignment="1">
      <alignment horizontal="right" vertical="center" wrapText="1"/>
    </xf>
    <xf numFmtId="167" fontId="64" fillId="13" borderId="1" xfId="3" applyNumberFormat="1" applyFont="1" applyFill="1" applyBorder="1" applyAlignment="1">
      <alignment horizontal="right" vertical="center" wrapText="1"/>
    </xf>
    <xf numFmtId="0" fontId="66" fillId="0" borderId="0" xfId="0" applyFont="1"/>
    <xf numFmtId="0" fontId="68" fillId="2" borderId="1" xfId="0" applyFont="1" applyFill="1" applyBorder="1" applyAlignment="1">
      <alignment horizontal="center" vertical="center" wrapText="1"/>
    </xf>
    <xf numFmtId="0" fontId="68" fillId="2" borderId="1" xfId="0" applyFont="1" applyFill="1" applyBorder="1" applyAlignment="1">
      <alignment vertical="center" wrapText="1"/>
    </xf>
    <xf numFmtId="167" fontId="70" fillId="0" borderId="1" xfId="3" applyNumberFormat="1" applyFont="1" applyBorder="1" applyAlignment="1">
      <alignment horizontal="right" vertical="center" wrapText="1"/>
    </xf>
    <xf numFmtId="0" fontId="68" fillId="2" borderId="16" xfId="0" applyFont="1" applyFill="1" applyBorder="1" applyAlignment="1">
      <alignment horizontal="center" vertical="center" wrapText="1"/>
    </xf>
    <xf numFmtId="0" fontId="69" fillId="0" borderId="1" xfId="0" applyFont="1" applyBorder="1" applyAlignment="1">
      <alignment horizontal="right" vertical="center" wrapText="1"/>
    </xf>
    <xf numFmtId="0" fontId="69" fillId="0" borderId="1" xfId="0" applyFont="1" applyBorder="1" applyAlignment="1">
      <alignment vertical="center" wrapText="1"/>
    </xf>
    <xf numFmtId="169" fontId="69" fillId="0" borderId="1" xfId="2" applyNumberFormat="1" applyFont="1" applyBorder="1" applyAlignment="1">
      <alignment vertical="center" wrapText="1"/>
    </xf>
    <xf numFmtId="9" fontId="66" fillId="7" borderId="1" xfId="0" applyNumberFormat="1" applyFont="1" applyFill="1" applyBorder="1"/>
    <xf numFmtId="169" fontId="66" fillId="0" borderId="1" xfId="0" applyNumberFormat="1" applyFont="1" applyBorder="1"/>
    <xf numFmtId="0" fontId="66" fillId="0" borderId="1" xfId="0" applyFont="1" applyBorder="1"/>
    <xf numFmtId="169" fontId="70" fillId="0" borderId="1" xfId="2" applyNumberFormat="1" applyFont="1" applyBorder="1" applyAlignment="1">
      <alignment horizontal="center" vertical="center" wrapText="1"/>
    </xf>
    <xf numFmtId="9" fontId="69" fillId="0" borderId="1" xfId="3" applyNumberFormat="1" applyFont="1" applyFill="1" applyBorder="1" applyAlignment="1">
      <alignment horizontal="right" vertical="center" wrapText="1"/>
    </xf>
    <xf numFmtId="167" fontId="69" fillId="0" borderId="1" xfId="3" applyNumberFormat="1" applyFont="1" applyFill="1" applyBorder="1" applyAlignment="1">
      <alignment horizontal="right" vertical="center" wrapText="1"/>
    </xf>
    <xf numFmtId="9" fontId="69" fillId="0" borderId="1" xfId="1" applyFont="1" applyFill="1" applyBorder="1" applyAlignment="1">
      <alignment horizontal="right" vertical="center" wrapText="1"/>
    </xf>
    <xf numFmtId="9" fontId="69" fillId="7" borderId="1" xfId="1" applyFont="1" applyFill="1" applyBorder="1" applyAlignment="1">
      <alignment horizontal="right" vertical="center" wrapText="1"/>
    </xf>
    <xf numFmtId="0" fontId="68" fillId="5" borderId="1" xfId="0" applyFont="1" applyFill="1" applyBorder="1" applyAlignment="1">
      <alignment horizontal="center" vertical="center" wrapText="1"/>
    </xf>
    <xf numFmtId="0" fontId="68" fillId="5" borderId="1" xfId="0" applyFont="1" applyFill="1" applyBorder="1" applyAlignment="1">
      <alignment horizontal="center" vertical="center"/>
    </xf>
    <xf numFmtId="0" fontId="69" fillId="0" borderId="1" xfId="0" applyFont="1" applyBorder="1" applyAlignment="1">
      <alignment horizontal="center" vertical="center" wrapText="1"/>
    </xf>
    <xf numFmtId="0" fontId="69" fillId="0" borderId="1" xfId="0" applyFont="1" applyFill="1" applyBorder="1" applyAlignment="1">
      <alignment horizontal="left" vertical="center" wrapText="1"/>
    </xf>
    <xf numFmtId="3" fontId="69" fillId="0" borderId="1" xfId="0" applyNumberFormat="1" applyFont="1" applyBorder="1" applyAlignment="1">
      <alignment horizontal="center" vertical="center" wrapText="1"/>
    </xf>
    <xf numFmtId="2" fontId="69" fillId="0" borderId="1" xfId="0" applyNumberFormat="1" applyFont="1" applyBorder="1" applyAlignment="1">
      <alignment horizontal="center" vertical="center" wrapText="1"/>
    </xf>
    <xf numFmtId="167" fontId="66" fillId="0" borderId="0" xfId="0" applyNumberFormat="1" applyFont="1"/>
    <xf numFmtId="9" fontId="59" fillId="0" borderId="0" xfId="0" applyNumberFormat="1" applyFont="1"/>
    <xf numFmtId="0" fontId="73" fillId="5" borderId="1" xfId="0" applyFont="1" applyFill="1" applyBorder="1"/>
    <xf numFmtId="0" fontId="73" fillId="5" borderId="1" xfId="0" applyFont="1" applyFill="1" applyBorder="1" applyAlignment="1">
      <alignment horizontal="center"/>
    </xf>
    <xf numFmtId="0" fontId="73" fillId="0" borderId="0" xfId="0" applyFont="1" applyFill="1" applyBorder="1" applyAlignment="1">
      <alignment horizontal="center"/>
    </xf>
    <xf numFmtId="0" fontId="59" fillId="0" borderId="1" xfId="0" applyFont="1" applyBorder="1"/>
    <xf numFmtId="0" fontId="59" fillId="0" borderId="0" xfId="0" applyNumberFormat="1" applyFont="1" applyFill="1" applyBorder="1"/>
    <xf numFmtId="1" fontId="59" fillId="0" borderId="0" xfId="0" applyNumberFormat="1" applyFont="1" applyFill="1" applyBorder="1"/>
    <xf numFmtId="0" fontId="62" fillId="0" borderId="1" xfId="0" applyFont="1" applyBorder="1"/>
    <xf numFmtId="0" fontId="62" fillId="0" borderId="1" xfId="0" applyFont="1" applyFill="1" applyBorder="1"/>
    <xf numFmtId="0" fontId="62" fillId="0" borderId="0" xfId="0" applyFont="1" applyFill="1" applyBorder="1"/>
    <xf numFmtId="169" fontId="62" fillId="0" borderId="0" xfId="2" applyNumberFormat="1" applyFont="1" applyFill="1" applyBorder="1"/>
    <xf numFmtId="0" fontId="62" fillId="0" borderId="0" xfId="0" applyFont="1" applyAlignment="1"/>
    <xf numFmtId="9" fontId="59" fillId="0" borderId="0" xfId="1" applyFont="1"/>
    <xf numFmtId="170" fontId="59" fillId="0" borderId="0" xfId="0" applyNumberFormat="1" applyFont="1"/>
    <xf numFmtId="10" fontId="59" fillId="0" borderId="0" xfId="0" applyNumberFormat="1" applyFont="1"/>
    <xf numFmtId="0" fontId="62" fillId="0" borderId="6" xfId="0" applyFont="1" applyFill="1" applyBorder="1" applyAlignment="1">
      <alignment wrapText="1"/>
    </xf>
    <xf numFmtId="9" fontId="59" fillId="6" borderId="1" xfId="1" applyFont="1" applyFill="1" applyBorder="1"/>
    <xf numFmtId="0" fontId="59" fillId="7" borderId="1" xfId="0" applyFont="1" applyFill="1" applyBorder="1"/>
    <xf numFmtId="9" fontId="59" fillId="7" borderId="1" xfId="0" applyNumberFormat="1" applyFont="1" applyFill="1" applyBorder="1"/>
    <xf numFmtId="0" fontId="59" fillId="0" borderId="9" xfId="0" applyFont="1" applyBorder="1" applyAlignment="1">
      <alignment horizontal="center" vertical="center"/>
    </xf>
    <xf numFmtId="0" fontId="59" fillId="0" borderId="1" xfId="1" applyNumberFormat="1" applyFont="1" applyFill="1" applyBorder="1"/>
    <xf numFmtId="0" fontId="59" fillId="0" borderId="14" xfId="0" applyFont="1" applyBorder="1" applyAlignment="1">
      <alignment vertical="center" wrapText="1"/>
    </xf>
    <xf numFmtId="0" fontId="59" fillId="0" borderId="2" xfId="0" applyFont="1" applyBorder="1" applyAlignment="1">
      <alignment vertical="center" wrapText="1"/>
    </xf>
    <xf numFmtId="0" fontId="59" fillId="0" borderId="9" xfId="0" applyFont="1" applyBorder="1" applyAlignment="1">
      <alignment vertical="center" wrapText="1"/>
    </xf>
    <xf numFmtId="9" fontId="73" fillId="7" borderId="1" xfId="0" applyNumberFormat="1" applyFont="1" applyFill="1" applyBorder="1"/>
    <xf numFmtId="0" fontId="59" fillId="0" borderId="2" xfId="0" applyFont="1" applyFill="1" applyBorder="1"/>
    <xf numFmtId="9" fontId="73" fillId="7" borderId="1" xfId="0" applyNumberFormat="1" applyFont="1" applyFill="1" applyBorder="1" applyAlignment="1">
      <alignment horizontal="center"/>
    </xf>
    <xf numFmtId="0" fontId="59" fillId="0" borderId="0" xfId="0" applyFont="1" applyFill="1"/>
    <xf numFmtId="0" fontId="59" fillId="0" borderId="0" xfId="0" applyFont="1" applyBorder="1"/>
    <xf numFmtId="9" fontId="59" fillId="13" borderId="1" xfId="0" applyNumberFormat="1" applyFont="1" applyFill="1" applyBorder="1"/>
    <xf numFmtId="0" fontId="73" fillId="5" borderId="1" xfId="0" applyFont="1" applyFill="1" applyBorder="1" applyAlignment="1">
      <alignment vertical="top"/>
    </xf>
    <xf numFmtId="0" fontId="73" fillId="5" borderId="1" xfId="0" applyFont="1" applyFill="1" applyBorder="1" applyAlignment="1">
      <alignment vertical="top" wrapText="1"/>
    </xf>
    <xf numFmtId="164" fontId="59" fillId="0" borderId="1" xfId="2" applyFont="1" applyBorder="1"/>
    <xf numFmtId="169" fontId="59" fillId="0" borderId="1" xfId="2" applyNumberFormat="1" applyFont="1" applyBorder="1"/>
    <xf numFmtId="169" fontId="62" fillId="0" borderId="1" xfId="2" applyNumberFormat="1" applyFont="1" applyBorder="1"/>
    <xf numFmtId="169" fontId="62" fillId="0" borderId="0" xfId="2" applyNumberFormat="1" applyFont="1"/>
    <xf numFmtId="0" fontId="62" fillId="13" borderId="1" xfId="0" applyFont="1" applyFill="1" applyBorder="1"/>
    <xf numFmtId="164" fontId="59" fillId="7" borderId="1" xfId="2" applyFont="1" applyFill="1" applyBorder="1"/>
    <xf numFmtId="169" fontId="59" fillId="7" borderId="1" xfId="2" applyNumberFormat="1" applyFont="1" applyFill="1" applyBorder="1"/>
    <xf numFmtId="9" fontId="62" fillId="13" borderId="1" xfId="1" applyFont="1" applyFill="1" applyBorder="1"/>
    <xf numFmtId="169" fontId="62" fillId="7" borderId="1" xfId="2" applyNumberFormat="1" applyFont="1" applyFill="1" applyBorder="1"/>
    <xf numFmtId="9" fontId="62" fillId="7" borderId="1" xfId="1" applyFont="1" applyFill="1" applyBorder="1"/>
    <xf numFmtId="9" fontId="59" fillId="7" borderId="1" xfId="1" applyFont="1" applyFill="1" applyBorder="1"/>
    <xf numFmtId="0" fontId="62" fillId="0" borderId="9" xfId="0" applyFont="1" applyBorder="1" applyAlignment="1">
      <alignment horizontal="center" vertical="center"/>
    </xf>
    <xf numFmtId="0" fontId="62" fillId="0" borderId="9" xfId="0" applyFont="1" applyBorder="1" applyAlignment="1">
      <alignment horizontal="left" vertical="center"/>
    </xf>
    <xf numFmtId="0" fontId="59" fillId="4" borderId="2" xfId="0" applyFont="1" applyFill="1" applyBorder="1" applyAlignment="1">
      <alignment vertical="center" wrapText="1"/>
    </xf>
    <xf numFmtId="0" fontId="59" fillId="4" borderId="9" xfId="0" applyFont="1" applyFill="1" applyBorder="1" applyAlignment="1">
      <alignment vertical="center" wrapText="1"/>
    </xf>
    <xf numFmtId="164" fontId="59" fillId="4" borderId="1" xfId="2" applyFont="1" applyFill="1" applyBorder="1"/>
    <xf numFmtId="164" fontId="59" fillId="0" borderId="1" xfId="2" applyFont="1" applyFill="1" applyBorder="1"/>
    <xf numFmtId="0" fontId="78" fillId="4" borderId="14" xfId="0" applyFont="1" applyFill="1" applyBorder="1" applyAlignment="1">
      <alignment horizontal="center" vertical="center" wrapText="1"/>
    </xf>
    <xf numFmtId="0" fontId="59" fillId="6" borderId="0" xfId="0" applyFont="1" applyFill="1"/>
    <xf numFmtId="0" fontId="59" fillId="7" borderId="0" xfId="0" applyFont="1" applyFill="1"/>
    <xf numFmtId="9" fontId="59" fillId="0" borderId="1" xfId="0" applyNumberFormat="1" applyFont="1" applyBorder="1"/>
    <xf numFmtId="0" fontId="73" fillId="2" borderId="1" xfId="0" applyFont="1" applyFill="1" applyBorder="1"/>
    <xf numFmtId="0" fontId="73" fillId="2" borderId="1" xfId="0" applyFont="1" applyFill="1" applyBorder="1" applyAlignment="1">
      <alignment horizontal="center"/>
    </xf>
    <xf numFmtId="43" fontId="59" fillId="0" borderId="1" xfId="0" applyNumberFormat="1" applyFont="1" applyFill="1" applyBorder="1"/>
    <xf numFmtId="167" fontId="62" fillId="0" borderId="1" xfId="3" applyNumberFormat="1" applyFont="1" applyBorder="1"/>
    <xf numFmtId="0" fontId="62" fillId="7" borderId="1" xfId="0" applyFont="1" applyFill="1" applyBorder="1"/>
    <xf numFmtId="167" fontId="62" fillId="7" borderId="1" xfId="3" applyNumberFormat="1" applyFont="1" applyFill="1" applyBorder="1"/>
    <xf numFmtId="0" fontId="62" fillId="12" borderId="1" xfId="0" applyFont="1" applyFill="1" applyBorder="1"/>
    <xf numFmtId="167" fontId="59" fillId="0" borderId="1" xfId="1" applyNumberFormat="1" applyFont="1" applyBorder="1"/>
    <xf numFmtId="0" fontId="59" fillId="0" borderId="0" xfId="0" applyFont="1" applyFill="1" applyBorder="1"/>
    <xf numFmtId="0" fontId="62" fillId="0" borderId="0" xfId="0" applyFont="1" applyBorder="1" applyAlignment="1">
      <alignment horizontal="center"/>
    </xf>
    <xf numFmtId="9" fontId="62" fillId="0" borderId="0" xfId="0" applyNumberFormat="1" applyFont="1" applyBorder="1" applyAlignment="1">
      <alignment horizontal="center"/>
    </xf>
    <xf numFmtId="169" fontId="62" fillId="6" borderId="1" xfId="2" applyNumberFormat="1" applyFont="1" applyFill="1" applyBorder="1"/>
    <xf numFmtId="167" fontId="59" fillId="0" borderId="1" xfId="0" applyNumberFormat="1" applyFont="1" applyBorder="1"/>
    <xf numFmtId="171" fontId="62" fillId="6" borderId="1" xfId="0" applyNumberFormat="1" applyFont="1" applyFill="1" applyBorder="1"/>
    <xf numFmtId="167" fontId="62" fillId="0" borderId="1" xfId="0" applyNumberFormat="1" applyFont="1" applyBorder="1"/>
    <xf numFmtId="169" fontId="59" fillId="6" borderId="1" xfId="2" applyNumberFormat="1" applyFont="1" applyFill="1" applyBorder="1"/>
    <xf numFmtId="169" fontId="59" fillId="0" borderId="1" xfId="0" applyNumberFormat="1" applyFont="1" applyBorder="1"/>
    <xf numFmtId="2" fontId="59" fillId="0" borderId="1" xfId="0" applyNumberFormat="1" applyFont="1" applyBorder="1"/>
    <xf numFmtId="43" fontId="59" fillId="0" borderId="0" xfId="0" applyNumberFormat="1" applyFont="1"/>
    <xf numFmtId="2" fontId="59" fillId="0" borderId="0" xfId="0" applyNumberFormat="1" applyFont="1"/>
    <xf numFmtId="167" fontId="62" fillId="0" borderId="1" xfId="1" applyNumberFormat="1" applyFont="1" applyBorder="1"/>
    <xf numFmtId="0" fontId="77" fillId="0" borderId="1" xfId="0" applyFont="1" applyBorder="1"/>
    <xf numFmtId="0" fontId="79" fillId="14" borderId="1" xfId="0" applyFont="1" applyFill="1" applyBorder="1"/>
    <xf numFmtId="169" fontId="59" fillId="0" borderId="1" xfId="2" applyNumberFormat="1" applyFont="1" applyFill="1" applyBorder="1"/>
    <xf numFmtId="169" fontId="62" fillId="0" borderId="1" xfId="2" applyNumberFormat="1" applyFont="1" applyFill="1" applyBorder="1"/>
    <xf numFmtId="167" fontId="62" fillId="13" borderId="1" xfId="3" applyNumberFormat="1" applyFont="1" applyFill="1" applyBorder="1"/>
    <xf numFmtId="164" fontId="62" fillId="0" borderId="1" xfId="2" applyFont="1" applyBorder="1"/>
    <xf numFmtId="169" fontId="62" fillId="13" borderId="1" xfId="2" applyNumberFormat="1" applyFont="1" applyFill="1" applyBorder="1"/>
    <xf numFmtId="167" fontId="62" fillId="13" borderId="1" xfId="0" applyNumberFormat="1" applyFont="1" applyFill="1" applyBorder="1"/>
    <xf numFmtId="9" fontId="59" fillId="0" borderId="1" xfId="0" applyNumberFormat="1" applyFont="1" applyFill="1" applyBorder="1"/>
    <xf numFmtId="43" fontId="59" fillId="0" borderId="1" xfId="0" applyNumberFormat="1" applyFont="1" applyBorder="1"/>
    <xf numFmtId="169" fontId="59" fillId="0" borderId="0" xfId="2" applyNumberFormat="1" applyFont="1" applyBorder="1"/>
    <xf numFmtId="9" fontId="62" fillId="0" borderId="0" xfId="0" applyNumberFormat="1" applyFont="1" applyAlignment="1">
      <alignment horizontal="center"/>
    </xf>
    <xf numFmtId="9" fontId="59" fillId="0" borderId="1" xfId="1" applyFont="1" applyBorder="1"/>
    <xf numFmtId="0" fontId="59" fillId="0" borderId="1" xfId="0" applyFont="1" applyBorder="1" applyAlignment="1">
      <alignment wrapText="1"/>
    </xf>
    <xf numFmtId="0" fontId="62" fillId="0" borderId="1" xfId="0" applyFont="1" applyBorder="1" applyAlignment="1">
      <alignment wrapText="1"/>
    </xf>
    <xf numFmtId="0" fontId="62" fillId="0" borderId="0" xfId="0" applyFont="1"/>
    <xf numFmtId="0" fontId="77" fillId="0" borderId="0" xfId="0" applyFont="1" applyFill="1" applyBorder="1"/>
    <xf numFmtId="0" fontId="62" fillId="13" borderId="0" xfId="0" applyFont="1" applyFill="1"/>
    <xf numFmtId="171" fontId="59" fillId="0" borderId="0" xfId="0" applyNumberFormat="1" applyFont="1"/>
    <xf numFmtId="0" fontId="62" fillId="13" borderId="1" xfId="0" applyFont="1" applyFill="1" applyBorder="1" applyAlignment="1">
      <alignment wrapText="1"/>
    </xf>
    <xf numFmtId="166" fontId="59" fillId="0" borderId="0" xfId="0" applyNumberFormat="1" applyFont="1" applyBorder="1"/>
    <xf numFmtId="43" fontId="59" fillId="0" borderId="0" xfId="0" applyNumberFormat="1" applyFont="1" applyBorder="1"/>
    <xf numFmtId="1" fontId="59" fillId="0" borderId="0" xfId="0" applyNumberFormat="1" applyFont="1" applyBorder="1"/>
    <xf numFmtId="171" fontId="59" fillId="0" borderId="1" xfId="0" applyNumberFormat="1" applyFont="1" applyBorder="1"/>
    <xf numFmtId="0" fontId="25" fillId="0" borderId="1" xfId="0" applyFont="1" applyFill="1" applyBorder="1" applyAlignment="1">
      <alignment vertical="center"/>
    </xf>
    <xf numFmtId="164" fontId="25" fillId="0" borderId="1" xfId="2" applyFont="1" applyBorder="1"/>
    <xf numFmtId="9" fontId="26" fillId="0" borderId="1" xfId="0" applyNumberFormat="1" applyFont="1" applyFill="1" applyBorder="1"/>
    <xf numFmtId="169" fontId="25" fillId="13" borderId="1" xfId="2" applyNumberFormat="1" applyFont="1" applyFill="1" applyBorder="1"/>
    <xf numFmtId="0" fontId="64" fillId="6" borderId="1" xfId="0" applyFont="1" applyFill="1" applyBorder="1" applyAlignment="1">
      <alignment horizontal="center" vertical="center" wrapText="1"/>
    </xf>
    <xf numFmtId="0" fontId="64" fillId="13" borderId="1" xfId="0" applyFont="1" applyFill="1" applyBorder="1" applyAlignment="1">
      <alignment horizontal="center" vertical="center" wrapText="1"/>
    </xf>
    <xf numFmtId="0" fontId="59" fillId="0" borderId="0" xfId="0" applyFont="1" applyAlignment="1">
      <alignment horizontal="center"/>
    </xf>
    <xf numFmtId="167" fontId="63" fillId="13" borderId="1" xfId="3" applyNumberFormat="1" applyFont="1" applyFill="1" applyBorder="1" applyAlignment="1">
      <alignment horizontal="center" vertical="center" wrapText="1"/>
    </xf>
    <xf numFmtId="0" fontId="63" fillId="13" borderId="1" xfId="0" applyFont="1" applyFill="1" applyBorder="1" applyAlignment="1">
      <alignment horizontal="right" vertical="center" wrapText="1"/>
    </xf>
    <xf numFmtId="0" fontId="63" fillId="13" borderId="1" xfId="0" applyFont="1" applyFill="1" applyBorder="1" applyAlignment="1">
      <alignment vertical="center"/>
    </xf>
    <xf numFmtId="169" fontId="59" fillId="0" borderId="0" xfId="0" applyNumberFormat="1" applyFont="1"/>
    <xf numFmtId="164" fontId="59" fillId="0" borderId="0" xfId="0" applyNumberFormat="1" applyFont="1"/>
    <xf numFmtId="169" fontId="0" fillId="0" borderId="0" xfId="2" applyNumberFormat="1" applyFont="1"/>
    <xf numFmtId="164" fontId="59" fillId="0" borderId="0" xfId="2" applyFont="1"/>
    <xf numFmtId="169" fontId="4" fillId="0" borderId="1" xfId="2" applyNumberFormat="1" applyFont="1" applyBorder="1"/>
    <xf numFmtId="3" fontId="4" fillId="0" borderId="1" xfId="0" applyNumberFormat="1" applyFont="1" applyBorder="1"/>
    <xf numFmtId="164" fontId="62" fillId="6" borderId="1" xfId="2" applyFont="1" applyFill="1" applyBorder="1"/>
    <xf numFmtId="10" fontId="69" fillId="4" borderId="1" xfId="0" applyNumberFormat="1" applyFont="1" applyFill="1" applyBorder="1" applyAlignment="1">
      <alignment horizontal="center" vertical="center" wrapText="1"/>
    </xf>
    <xf numFmtId="10" fontId="69" fillId="4" borderId="1" xfId="1" applyNumberFormat="1" applyFont="1" applyFill="1" applyBorder="1" applyAlignment="1">
      <alignment horizontal="center" vertical="center" wrapText="1"/>
    </xf>
    <xf numFmtId="169" fontId="26" fillId="4" borderId="1" xfId="2" applyNumberFormat="1" applyFont="1" applyFill="1" applyBorder="1"/>
    <xf numFmtId="169" fontId="25" fillId="4" borderId="1" xfId="2" applyNumberFormat="1" applyFont="1" applyFill="1" applyBorder="1"/>
    <xf numFmtId="164" fontId="64" fillId="13" borderId="1" xfId="2" applyFont="1" applyFill="1" applyBorder="1" applyAlignment="1">
      <alignment horizontal="right" vertical="center" wrapText="1"/>
    </xf>
    <xf numFmtId="0" fontId="40" fillId="0" borderId="11" xfId="0" applyFont="1" applyFill="1" applyBorder="1" applyAlignment="1">
      <alignment horizontal="center" vertical="center" wrapText="1"/>
    </xf>
    <xf numFmtId="169" fontId="66" fillId="0" borderId="0" xfId="0" applyNumberFormat="1" applyFont="1"/>
    <xf numFmtId="0" fontId="82" fillId="2" borderId="1" xfId="0" applyFont="1" applyFill="1" applyBorder="1" applyAlignment="1">
      <alignment horizontal="center" vertical="center" wrapText="1"/>
    </xf>
    <xf numFmtId="9" fontId="25" fillId="0" borderId="1" xfId="0" applyNumberFormat="1" applyFont="1" applyFill="1" applyBorder="1"/>
    <xf numFmtId="0" fontId="40" fillId="0" borderId="1" xfId="0" applyFont="1" applyFill="1" applyBorder="1" applyAlignment="1">
      <alignment horizontal="center" vertical="center" wrapText="1"/>
    </xf>
    <xf numFmtId="9" fontId="40" fillId="0" borderId="1" xfId="0" applyNumberFormat="1" applyFont="1" applyFill="1" applyBorder="1" applyAlignment="1">
      <alignment horizontal="center" vertical="center" wrapText="1"/>
    </xf>
    <xf numFmtId="0" fontId="83" fillId="4" borderId="0" xfId="0" applyFont="1" applyFill="1"/>
    <xf numFmtId="164" fontId="83" fillId="4" borderId="0" xfId="2" applyFont="1" applyFill="1"/>
    <xf numFmtId="9" fontId="83" fillId="4" borderId="0" xfId="1" applyFont="1" applyFill="1"/>
    <xf numFmtId="0" fontId="83" fillId="4" borderId="1" xfId="0" applyFont="1" applyFill="1" applyBorder="1"/>
    <xf numFmtId="0" fontId="83" fillId="15" borderId="1" xfId="0" applyFont="1" applyFill="1" applyBorder="1"/>
    <xf numFmtId="169" fontId="83" fillId="4" borderId="1" xfId="2" applyNumberFormat="1" applyFont="1" applyFill="1" applyBorder="1"/>
    <xf numFmtId="169" fontId="83" fillId="15" borderId="1" xfId="2" applyNumberFormat="1" applyFont="1" applyFill="1" applyBorder="1"/>
    <xf numFmtId="169" fontId="83" fillId="4" borderId="0" xfId="2" applyNumberFormat="1" applyFont="1" applyFill="1"/>
    <xf numFmtId="164" fontId="83" fillId="4" borderId="0" xfId="0" applyNumberFormat="1" applyFont="1" applyFill="1"/>
    <xf numFmtId="0" fontId="63" fillId="13" borderId="1" xfId="0" applyFont="1" applyFill="1" applyBorder="1" applyAlignment="1">
      <alignment horizontal="center" vertical="top" wrapText="1"/>
    </xf>
    <xf numFmtId="0" fontId="63" fillId="13" borderId="1" xfId="0" applyFont="1" applyFill="1" applyBorder="1" applyAlignment="1">
      <alignment vertical="top" wrapText="1"/>
    </xf>
    <xf numFmtId="169" fontId="63" fillId="13" borderId="1" xfId="2" applyNumberFormat="1" applyFont="1" applyFill="1" applyBorder="1" applyAlignment="1">
      <alignment horizontal="center" vertical="top" wrapText="1"/>
    </xf>
    <xf numFmtId="169" fontId="63" fillId="13" borderId="1" xfId="2" applyNumberFormat="1" applyFont="1" applyFill="1" applyBorder="1" applyAlignment="1">
      <alignment horizontal="right" vertical="top" wrapText="1"/>
    </xf>
    <xf numFmtId="0" fontId="85" fillId="13" borderId="1" xfId="0" applyFont="1" applyFill="1" applyBorder="1" applyAlignment="1">
      <alignment vertical="center" wrapText="1"/>
    </xf>
    <xf numFmtId="169" fontId="59" fillId="13" borderId="1" xfId="2" applyNumberFormat="1" applyFont="1" applyFill="1" applyBorder="1"/>
    <xf numFmtId="169" fontId="64" fillId="13" borderId="1" xfId="2" applyNumberFormat="1" applyFont="1" applyFill="1" applyBorder="1" applyAlignment="1">
      <alignment horizontal="center" vertical="center" wrapText="1"/>
    </xf>
    <xf numFmtId="169" fontId="64" fillId="13" borderId="1" xfId="2" applyNumberFormat="1" applyFont="1" applyFill="1" applyBorder="1" applyAlignment="1">
      <alignment horizontal="right" vertical="center" wrapText="1"/>
    </xf>
    <xf numFmtId="0" fontId="25" fillId="13" borderId="0" xfId="0" applyNumberFormat="1" applyFont="1" applyFill="1"/>
    <xf numFmtId="164" fontId="86" fillId="4" borderId="0" xfId="2" applyFont="1" applyFill="1"/>
    <xf numFmtId="164" fontId="83" fillId="4" borderId="1" xfId="2" applyFont="1" applyFill="1" applyBorder="1"/>
    <xf numFmtId="164" fontId="84" fillId="4" borderId="1" xfId="2" applyFont="1" applyFill="1" applyBorder="1" applyAlignment="1">
      <alignment horizontal="center"/>
    </xf>
    <xf numFmtId="9" fontId="84" fillId="4" borderId="1" xfId="1" applyFont="1" applyFill="1" applyBorder="1" applyAlignment="1">
      <alignment horizontal="center"/>
    </xf>
    <xf numFmtId="167" fontId="59" fillId="6" borderId="0" xfId="0" applyNumberFormat="1" applyFont="1" applyFill="1" applyBorder="1"/>
    <xf numFmtId="0" fontId="87" fillId="5" borderId="1" xfId="0" applyFont="1" applyFill="1" applyBorder="1"/>
    <xf numFmtId="0" fontId="87" fillId="5" borderId="1" xfId="0" applyFont="1" applyFill="1" applyBorder="1" applyAlignment="1">
      <alignment horizontal="center"/>
    </xf>
    <xf numFmtId="164" fontId="59" fillId="6" borderId="1" xfId="2" applyFont="1" applyFill="1" applyBorder="1"/>
    <xf numFmtId="164" fontId="59" fillId="13" borderId="1" xfId="2" applyFont="1" applyFill="1" applyBorder="1"/>
    <xf numFmtId="0" fontId="63" fillId="13" borderId="1" xfId="0" applyFont="1" applyFill="1" applyBorder="1" applyAlignment="1">
      <alignment horizontal="left" vertical="top" wrapText="1"/>
    </xf>
    <xf numFmtId="169" fontId="59" fillId="13" borderId="1" xfId="2" applyNumberFormat="1" applyFont="1" applyFill="1" applyBorder="1" applyAlignment="1">
      <alignment horizontal="left" vertical="top"/>
    </xf>
    <xf numFmtId="10" fontId="25" fillId="13" borderId="0" xfId="1" applyNumberFormat="1" applyFont="1" applyFill="1"/>
    <xf numFmtId="0" fontId="75" fillId="13" borderId="1" xfId="0" applyFont="1" applyFill="1" applyBorder="1" applyAlignment="1">
      <alignment horizontal="center" vertical="center" wrapText="1"/>
    </xf>
    <xf numFmtId="0" fontId="75" fillId="13" borderId="1" xfId="0" applyFont="1" applyFill="1" applyBorder="1" applyAlignment="1">
      <alignment vertical="center" wrapText="1"/>
    </xf>
    <xf numFmtId="0" fontId="62" fillId="13" borderId="1" xfId="0" applyFont="1" applyFill="1" applyBorder="1" applyAlignment="1">
      <alignment vertical="center" wrapText="1"/>
    </xf>
    <xf numFmtId="169" fontId="75" fillId="13" borderId="1" xfId="2" applyNumberFormat="1" applyFont="1" applyFill="1" applyBorder="1" applyAlignment="1">
      <alignment horizontal="left" vertical="center" wrapText="1"/>
    </xf>
    <xf numFmtId="169" fontId="75" fillId="13" borderId="1" xfId="2" applyNumberFormat="1" applyFont="1" applyFill="1" applyBorder="1" applyAlignment="1">
      <alignment vertical="center" wrapText="1"/>
    </xf>
    <xf numFmtId="169" fontId="75" fillId="13" borderId="1" xfId="2" applyNumberFormat="1" applyFont="1" applyFill="1" applyBorder="1" applyAlignment="1">
      <alignment horizontal="right" vertical="center" wrapText="1"/>
    </xf>
    <xf numFmtId="1" fontId="59" fillId="0" borderId="0" xfId="0" applyNumberFormat="1" applyFont="1"/>
    <xf numFmtId="1" fontId="59" fillId="0" borderId="1" xfId="0" applyNumberFormat="1" applyFont="1" applyBorder="1"/>
    <xf numFmtId="164" fontId="62" fillId="0" borderId="0" xfId="0" applyNumberFormat="1" applyFont="1" applyFill="1" applyBorder="1"/>
    <xf numFmtId="0" fontId="64" fillId="13" borderId="1" xfId="0" applyFont="1" applyFill="1" applyBorder="1" applyAlignment="1">
      <alignment horizontal="center" vertical="center" wrapText="1"/>
    </xf>
    <xf numFmtId="164" fontId="59" fillId="13" borderId="1" xfId="2" applyFont="1" applyFill="1" applyBorder="1" applyAlignment="1">
      <alignment vertical="top"/>
    </xf>
    <xf numFmtId="164" fontId="59" fillId="13" borderId="1" xfId="2" applyFont="1" applyFill="1" applyBorder="1" applyAlignment="1">
      <alignment vertical="center"/>
    </xf>
    <xf numFmtId="169" fontId="63" fillId="6" borderId="1" xfId="2" applyNumberFormat="1" applyFont="1" applyFill="1" applyBorder="1" applyAlignment="1">
      <alignment horizontal="right" vertical="center" wrapText="1"/>
    </xf>
    <xf numFmtId="0" fontId="63" fillId="13" borderId="1" xfId="0" applyFont="1" applyFill="1" applyBorder="1" applyAlignment="1">
      <alignment horizontal="left" vertical="center" wrapText="1"/>
    </xf>
    <xf numFmtId="164" fontId="64" fillId="0" borderId="1" xfId="2" applyFont="1" applyFill="1" applyBorder="1" applyAlignment="1">
      <alignment horizontal="right" vertical="center" wrapText="1"/>
    </xf>
    <xf numFmtId="164" fontId="83" fillId="15" borderId="1" xfId="2" applyFont="1" applyFill="1" applyBorder="1"/>
    <xf numFmtId="177" fontId="83" fillId="4" borderId="1" xfId="2" applyNumberFormat="1" applyFont="1" applyFill="1" applyBorder="1"/>
    <xf numFmtId="177" fontId="83" fillId="15" borderId="1" xfId="2" applyNumberFormat="1" applyFont="1" applyFill="1" applyBorder="1"/>
    <xf numFmtId="164" fontId="83" fillId="4" borderId="1" xfId="2" applyNumberFormat="1" applyFont="1" applyFill="1" applyBorder="1"/>
    <xf numFmtId="164" fontId="83" fillId="15" borderId="1" xfId="2" applyNumberFormat="1" applyFont="1" applyFill="1" applyBorder="1"/>
    <xf numFmtId="177" fontId="83" fillId="4" borderId="0" xfId="0" applyNumberFormat="1" applyFont="1" applyFill="1"/>
    <xf numFmtId="0" fontId="83" fillId="4" borderId="0" xfId="0" applyFont="1" applyFill="1" applyAlignment="1">
      <alignment horizontal="center"/>
    </xf>
    <xf numFmtId="164" fontId="83" fillId="4" borderId="0" xfId="0" applyNumberFormat="1" applyFont="1" applyFill="1" applyAlignment="1">
      <alignment horizontal="center"/>
    </xf>
    <xf numFmtId="0" fontId="83" fillId="14" borderId="0" xfId="0" applyFont="1" applyFill="1" applyAlignment="1">
      <alignment horizontal="center"/>
    </xf>
    <xf numFmtId="9" fontId="83" fillId="14" borderId="0" xfId="1" applyFont="1" applyFill="1" applyAlignment="1">
      <alignment horizontal="center"/>
    </xf>
    <xf numFmtId="0" fontId="88" fillId="4" borderId="0" xfId="0" applyFont="1" applyFill="1"/>
    <xf numFmtId="0" fontId="86" fillId="13" borderId="0" xfId="0" applyFont="1" applyFill="1" applyAlignment="1">
      <alignment horizontal="center"/>
    </xf>
    <xf numFmtId="0" fontId="86" fillId="4" borderId="0" xfId="0" applyFont="1" applyFill="1" applyAlignment="1">
      <alignment horizontal="center"/>
    </xf>
    <xf numFmtId="0" fontId="89" fillId="4" borderId="0" xfId="0" applyFont="1" applyFill="1"/>
    <xf numFmtId="167" fontId="59" fillId="13" borderId="1" xfId="3" applyNumberFormat="1" applyFont="1" applyFill="1" applyBorder="1"/>
    <xf numFmtId="167" fontId="59" fillId="0" borderId="1" xfId="3" applyNumberFormat="1" applyFont="1" applyBorder="1"/>
    <xf numFmtId="167" fontId="59" fillId="14" borderId="1" xfId="3" applyNumberFormat="1" applyFont="1" applyFill="1" applyBorder="1"/>
    <xf numFmtId="167" fontId="59" fillId="8" borderId="1" xfId="3" applyNumberFormat="1" applyFont="1" applyFill="1" applyBorder="1"/>
    <xf numFmtId="0" fontId="62" fillId="14" borderId="1" xfId="0" applyFont="1" applyFill="1" applyBorder="1"/>
    <xf numFmtId="0" fontId="62" fillId="17" borderId="1" xfId="0" applyFont="1" applyFill="1" applyBorder="1"/>
    <xf numFmtId="0" fontId="59" fillId="14" borderId="1" xfId="0" applyFont="1" applyFill="1" applyBorder="1"/>
    <xf numFmtId="164" fontId="59" fillId="17" borderId="1" xfId="2" applyFont="1" applyFill="1" applyBorder="1"/>
    <xf numFmtId="0" fontId="59" fillId="8" borderId="1" xfId="0" applyFont="1" applyFill="1" applyBorder="1"/>
    <xf numFmtId="169" fontId="59" fillId="0" borderId="0" xfId="2" applyNumberFormat="1" applyFont="1"/>
    <xf numFmtId="0" fontId="59" fillId="16" borderId="1" xfId="0" applyFont="1" applyFill="1" applyBorder="1"/>
    <xf numFmtId="0" fontId="79" fillId="12" borderId="1" xfId="0" applyFont="1" applyFill="1" applyBorder="1"/>
    <xf numFmtId="169" fontId="62" fillId="12" borderId="1" xfId="0" applyNumberFormat="1" applyFont="1" applyFill="1" applyBorder="1"/>
    <xf numFmtId="169" fontId="59" fillId="14" borderId="1" xfId="2" applyNumberFormat="1" applyFont="1" applyFill="1" applyBorder="1"/>
    <xf numFmtId="0" fontId="59" fillId="18" borderId="1" xfId="0" applyFont="1" applyFill="1" applyBorder="1"/>
    <xf numFmtId="169" fontId="59" fillId="18" borderId="1" xfId="2" applyNumberFormat="1" applyFont="1" applyFill="1" applyBorder="1"/>
    <xf numFmtId="169" fontId="63" fillId="18" borderId="17" xfId="2" applyNumberFormat="1" applyFont="1" applyFill="1" applyBorder="1"/>
    <xf numFmtId="9" fontId="83" fillId="4" borderId="0" xfId="0" applyNumberFormat="1" applyFont="1" applyFill="1"/>
    <xf numFmtId="169" fontId="64" fillId="14" borderId="17" xfId="2" applyNumberFormat="1" applyFont="1" applyFill="1" applyBorder="1"/>
    <xf numFmtId="169" fontId="64" fillId="13" borderId="17" xfId="2" applyNumberFormat="1" applyFont="1" applyFill="1" applyBorder="1"/>
    <xf numFmtId="164" fontId="59" fillId="0" borderId="1" xfId="2" applyNumberFormat="1" applyFont="1" applyBorder="1"/>
    <xf numFmtId="9" fontId="0" fillId="0" borderId="0" xfId="1" applyFont="1"/>
    <xf numFmtId="164" fontId="66" fillId="0" borderId="1" xfId="0" applyNumberFormat="1" applyFont="1" applyBorder="1"/>
    <xf numFmtId="0" fontId="53" fillId="10" borderId="1" xfId="0" applyFont="1" applyFill="1" applyBorder="1" applyAlignment="1">
      <alignment horizontal="left" vertical="center" wrapText="1"/>
    </xf>
    <xf numFmtId="0" fontId="54" fillId="0" borderId="8" xfId="0" applyFont="1" applyBorder="1" applyAlignment="1">
      <alignment horizontal="center" vertical="center" wrapText="1"/>
    </xf>
    <xf numFmtId="0" fontId="55" fillId="8" borderId="1" xfId="0" applyFont="1" applyFill="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15"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left" vertical="center" wrapText="1"/>
    </xf>
    <xf numFmtId="0" fontId="53" fillId="9" borderId="1"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11" xfId="0" applyFont="1" applyBorder="1" applyAlignment="1">
      <alignment horizontal="left" vertical="center" wrapText="1"/>
    </xf>
    <xf numFmtId="0" fontId="67" fillId="0" borderId="0" xfId="0" applyFont="1" applyBorder="1" applyAlignment="1">
      <alignment horizontal="center"/>
    </xf>
    <xf numFmtId="0" fontId="69" fillId="0" borderId="1" xfId="0" applyFont="1" applyBorder="1" applyAlignment="1">
      <alignment horizontal="center" vertical="center" wrapText="1"/>
    </xf>
    <xf numFmtId="0" fontId="70" fillId="0" borderId="1" xfId="0" applyFont="1" applyBorder="1" applyAlignment="1">
      <alignment horizontal="center" vertical="center" wrapText="1"/>
    </xf>
    <xf numFmtId="0" fontId="67" fillId="0" borderId="0" xfId="0" applyFont="1" applyAlignment="1">
      <alignment horizontal="center"/>
    </xf>
    <xf numFmtId="0" fontId="72" fillId="0" borderId="0" xfId="0" applyFont="1" applyAlignment="1">
      <alignment horizontal="center" wrapText="1"/>
    </xf>
    <xf numFmtId="0" fontId="62" fillId="0" borderId="1" xfId="0" applyFont="1" applyBorder="1" applyAlignment="1">
      <alignment horizontal="center" vertical="center" wrapText="1"/>
    </xf>
    <xf numFmtId="0" fontId="62" fillId="0" borderId="0" xfId="0" applyFont="1" applyAlignment="1">
      <alignment horizontal="center"/>
    </xf>
    <xf numFmtId="0" fontId="64" fillId="0" borderId="1" xfId="0" applyFont="1" applyBorder="1" applyAlignment="1">
      <alignment horizontal="center" vertical="center" wrapText="1"/>
    </xf>
    <xf numFmtId="0" fontId="64" fillId="6" borderId="1" xfId="0" applyFont="1" applyFill="1" applyBorder="1" applyAlignment="1">
      <alignment horizontal="center" vertical="center" wrapText="1"/>
    </xf>
    <xf numFmtId="0" fontId="64" fillId="13" borderId="1" xfId="0" applyFont="1" applyFill="1" applyBorder="1" applyAlignment="1">
      <alignment horizontal="center" vertical="center" wrapText="1"/>
    </xf>
    <xf numFmtId="0" fontId="65" fillId="0" borderId="0" xfId="0" applyFont="1" applyAlignment="1">
      <alignment horizontal="left" wrapText="1"/>
    </xf>
    <xf numFmtId="0" fontId="62" fillId="0" borderId="0" xfId="0" applyFont="1" applyFill="1" applyAlignment="1">
      <alignment horizontal="center"/>
    </xf>
    <xf numFmtId="0" fontId="24" fillId="0" borderId="0" xfId="0" applyFont="1" applyAlignment="1">
      <alignment horizontal="center"/>
    </xf>
    <xf numFmtId="0" fontId="35" fillId="0" borderId="0" xfId="6" applyFont="1" applyFill="1" applyBorder="1" applyAlignment="1">
      <alignment horizontal="center"/>
    </xf>
    <xf numFmtId="0" fontId="12" fillId="0" borderId="0" xfId="0" applyFont="1" applyAlignment="1">
      <alignment horizontal="center" vertical="center" wrapText="1"/>
    </xf>
    <xf numFmtId="0" fontId="24" fillId="0" borderId="0" xfId="0" applyFont="1" applyBorder="1" applyAlignment="1">
      <alignment horizontal="center"/>
    </xf>
    <xf numFmtId="0" fontId="13" fillId="0" borderId="0" xfId="6" applyFont="1" applyFill="1" applyBorder="1" applyAlignment="1">
      <alignment horizontal="center"/>
    </xf>
    <xf numFmtId="0" fontId="26" fillId="0" borderId="8"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wrapText="1"/>
    </xf>
    <xf numFmtId="0" fontId="46" fillId="0" borderId="0" xfId="0" applyFont="1" applyAlignment="1">
      <alignment horizontal="center" wrapText="1"/>
    </xf>
    <xf numFmtId="0" fontId="45" fillId="0" borderId="0" xfId="0" applyFont="1" applyAlignment="1">
      <alignment horizontal="center" wrapText="1"/>
    </xf>
    <xf numFmtId="0" fontId="38" fillId="2" borderId="1"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28" fillId="6" borderId="8" xfId="0" applyFont="1" applyFill="1" applyBorder="1" applyAlignment="1">
      <alignment horizontal="center"/>
    </xf>
    <xf numFmtId="0" fontId="28" fillId="6" borderId="0" xfId="0" applyFont="1" applyFill="1" applyAlignment="1">
      <alignment horizontal="center"/>
    </xf>
    <xf numFmtId="0" fontId="48" fillId="0" borderId="0" xfId="0" applyFont="1" applyAlignment="1">
      <alignment horizontal="center" wrapText="1"/>
    </xf>
    <xf numFmtId="0" fontId="42" fillId="0" borderId="0" xfId="0" applyFont="1" applyAlignment="1">
      <alignment horizontal="center" wrapText="1"/>
    </xf>
    <xf numFmtId="0" fontId="24" fillId="0" borderId="12" xfId="0" applyFont="1" applyBorder="1" applyAlignment="1">
      <alignment horizontal="center"/>
    </xf>
    <xf numFmtId="0" fontId="44" fillId="0" borderId="0" xfId="0" applyFont="1" applyAlignment="1">
      <alignment horizontal="center" wrapText="1"/>
    </xf>
    <xf numFmtId="0" fontId="43" fillId="0" borderId="0" xfId="0" applyFont="1" applyAlignment="1">
      <alignment horizontal="center" wrapText="1"/>
    </xf>
    <xf numFmtId="0" fontId="6" fillId="0" borderId="10" xfId="0" applyFont="1" applyFill="1" applyBorder="1" applyAlignment="1">
      <alignment horizontal="center" wrapText="1"/>
    </xf>
    <xf numFmtId="0" fontId="6" fillId="0" borderId="11" xfId="0" applyFont="1" applyFill="1" applyBorder="1" applyAlignment="1">
      <alignment horizontal="center" wrapText="1"/>
    </xf>
    <xf numFmtId="0" fontId="11" fillId="0" borderId="0" xfId="0" applyFont="1" applyAlignment="1">
      <alignment horizontal="center" wrapText="1"/>
    </xf>
    <xf numFmtId="0" fontId="23" fillId="0" borderId="0" xfId="0" applyFont="1" applyAlignment="1">
      <alignment horizontal="center"/>
    </xf>
    <xf numFmtId="0" fontId="51" fillId="0" borderId="0" xfId="8" applyFont="1" applyAlignment="1" applyProtection="1">
      <alignment horizontal="center" wrapText="1"/>
    </xf>
    <xf numFmtId="0" fontId="50" fillId="0" borderId="0" xfId="0" applyFont="1" applyAlignment="1">
      <alignment horizontal="center" wrapText="1"/>
    </xf>
    <xf numFmtId="0" fontId="52" fillId="0" borderId="0" xfId="0" applyFont="1" applyAlignment="1">
      <alignment horizontal="center" wrapText="1"/>
    </xf>
    <xf numFmtId="0" fontId="23" fillId="0" borderId="7" xfId="0" applyFont="1" applyFill="1" applyBorder="1" applyAlignment="1">
      <alignment horizontal="center"/>
    </xf>
    <xf numFmtId="0" fontId="23" fillId="0" borderId="8" xfId="0" applyFont="1" applyFill="1" applyBorder="1" applyAlignment="1">
      <alignment horizontal="center"/>
    </xf>
    <xf numFmtId="0" fontId="9" fillId="0" borderId="0" xfId="0" applyFont="1" applyAlignment="1">
      <alignment horizontal="center"/>
    </xf>
    <xf numFmtId="3" fontId="4" fillId="0" borderId="1" xfId="0" applyNumberFormat="1" applyFont="1" applyBorder="1" applyAlignment="1">
      <alignment horizontal="center"/>
    </xf>
    <xf numFmtId="3" fontId="4" fillId="0" borderId="0" xfId="0" applyNumberFormat="1" applyFont="1" applyBorder="1" applyAlignment="1">
      <alignment horizontal="center"/>
    </xf>
    <xf numFmtId="0" fontId="48" fillId="0" borderId="0" xfId="0" applyFont="1" applyAlignment="1">
      <alignment horizontal="center"/>
    </xf>
    <xf numFmtId="1" fontId="25" fillId="0" borderId="1" xfId="2" applyNumberFormat="1" applyFont="1" applyBorder="1" applyAlignment="1">
      <alignment horizontal="center"/>
    </xf>
    <xf numFmtId="10" fontId="26" fillId="0" borderId="1" xfId="1" applyNumberFormat="1" applyFont="1" applyBorder="1" applyAlignment="1">
      <alignment horizontal="center"/>
    </xf>
    <xf numFmtId="0" fontId="71" fillId="0" borderId="0" xfId="0" applyFont="1" applyAlignment="1">
      <alignment horizontal="center"/>
    </xf>
    <xf numFmtId="0" fontId="71" fillId="0" borderId="8" xfId="0" applyFont="1" applyBorder="1" applyAlignment="1">
      <alignment horizontal="center"/>
    </xf>
    <xf numFmtId="0" fontId="76" fillId="5" borderId="14" xfId="0" applyFont="1" applyFill="1" applyBorder="1" applyAlignment="1">
      <alignment horizontal="left" vertical="center"/>
    </xf>
    <xf numFmtId="0" fontId="76" fillId="5" borderId="9" xfId="0" applyFont="1" applyFill="1" applyBorder="1" applyAlignment="1">
      <alignment horizontal="left" vertical="center"/>
    </xf>
    <xf numFmtId="0" fontId="59" fillId="0" borderId="0" xfId="0" applyFont="1" applyAlignment="1">
      <alignment horizontal="center"/>
    </xf>
    <xf numFmtId="0" fontId="80" fillId="0" borderId="14" xfId="0" applyFont="1" applyBorder="1" applyAlignment="1">
      <alignment horizontal="center" vertical="center"/>
    </xf>
    <xf numFmtId="0" fontId="80" fillId="0" borderId="2" xfId="0" applyFont="1" applyBorder="1" applyAlignment="1">
      <alignment horizontal="center" vertical="center"/>
    </xf>
    <xf numFmtId="0" fontId="80" fillId="0" borderId="9" xfId="0" applyFont="1" applyBorder="1" applyAlignment="1">
      <alignment horizontal="center" vertical="center"/>
    </xf>
    <xf numFmtId="0" fontId="71" fillId="0" borderId="10" xfId="0" applyFont="1" applyBorder="1" applyAlignment="1">
      <alignment horizontal="center"/>
    </xf>
    <xf numFmtId="0" fontId="71" fillId="0" borderId="15" xfId="0" applyFont="1" applyBorder="1" applyAlignment="1">
      <alignment horizontal="center"/>
    </xf>
    <xf numFmtId="0" fontId="71" fillId="0" borderId="11" xfId="0" applyFont="1" applyBorder="1" applyAlignment="1">
      <alignment horizontal="center"/>
    </xf>
    <xf numFmtId="0" fontId="73" fillId="5" borderId="14" xfId="0" applyFont="1" applyFill="1" applyBorder="1" applyAlignment="1">
      <alignment vertical="center"/>
    </xf>
    <xf numFmtId="0" fontId="73" fillId="5" borderId="9" xfId="0" applyFont="1" applyFill="1" applyBorder="1" applyAlignment="1">
      <alignment vertical="center"/>
    </xf>
    <xf numFmtId="0" fontId="74" fillId="0" borderId="10" xfId="0" applyFont="1" applyFill="1" applyBorder="1" applyAlignment="1">
      <alignment horizontal="center"/>
    </xf>
    <xf numFmtId="0" fontId="74" fillId="0" borderId="15" xfId="0" applyFont="1" applyFill="1" applyBorder="1" applyAlignment="1">
      <alignment horizontal="center"/>
    </xf>
    <xf numFmtId="0" fontId="74" fillId="0" borderId="11" xfId="0" applyFont="1" applyFill="1" applyBorder="1" applyAlignment="1">
      <alignment horizontal="center"/>
    </xf>
    <xf numFmtId="0" fontId="73" fillId="5" borderId="14" xfId="0" applyFont="1" applyFill="1" applyBorder="1" applyAlignment="1">
      <alignment horizontal="left" vertical="center"/>
    </xf>
    <xf numFmtId="0" fontId="73" fillId="5" borderId="9" xfId="0" applyFont="1" applyFill="1" applyBorder="1" applyAlignment="1">
      <alignment horizontal="left" vertical="center"/>
    </xf>
    <xf numFmtId="0" fontId="75" fillId="0" borderId="10" xfId="0" applyFont="1" applyFill="1" applyBorder="1" applyAlignment="1">
      <alignment horizontal="center"/>
    </xf>
    <xf numFmtId="0" fontId="75" fillId="0" borderId="15" xfId="0" applyFont="1" applyFill="1" applyBorder="1" applyAlignment="1">
      <alignment horizontal="center"/>
    </xf>
    <xf numFmtId="0" fontId="75" fillId="0" borderId="11" xfId="0" applyFont="1" applyFill="1" applyBorder="1" applyAlignment="1">
      <alignment horizontal="center"/>
    </xf>
    <xf numFmtId="0" fontId="81" fillId="0" borderId="14" xfId="0" applyFont="1" applyBorder="1" applyAlignment="1">
      <alignment horizontal="center" vertical="center"/>
    </xf>
    <xf numFmtId="0" fontId="81" fillId="0" borderId="2" xfId="0" applyFont="1" applyBorder="1" applyAlignment="1">
      <alignment horizontal="center" vertical="center"/>
    </xf>
    <xf numFmtId="0" fontId="81" fillId="0" borderId="9" xfId="0" applyFont="1" applyBorder="1" applyAlignment="1">
      <alignment horizontal="center" vertical="center"/>
    </xf>
    <xf numFmtId="0" fontId="78" fillId="0" borderId="14" xfId="0" applyFont="1" applyBorder="1" applyAlignment="1">
      <alignment horizontal="center" vertical="center"/>
    </xf>
    <xf numFmtId="0" fontId="78" fillId="0" borderId="2" xfId="0" applyFont="1" applyBorder="1" applyAlignment="1">
      <alignment horizontal="center" vertical="center"/>
    </xf>
    <xf numFmtId="0" fontId="78" fillId="0" borderId="9" xfId="0" applyFont="1" applyBorder="1" applyAlignment="1">
      <alignment horizontal="center" vertical="center"/>
    </xf>
    <xf numFmtId="0" fontId="78" fillId="0" borderId="1" xfId="0" applyFont="1" applyBorder="1" applyAlignment="1">
      <alignment horizontal="center" vertical="center" wrapText="1"/>
    </xf>
    <xf numFmtId="0" fontId="71" fillId="0" borderId="0" xfId="0" applyFont="1" applyFill="1" applyBorder="1" applyAlignment="1">
      <alignment horizontal="center"/>
    </xf>
    <xf numFmtId="0" fontId="2" fillId="0" borderId="0" xfId="0" applyFont="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99FFCC"/>
      <color rgb="FFFFCCFF"/>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workbookViewId="0"/>
  </sheetViews>
  <sheetFormatPr defaultColWidth="9.140625" defaultRowHeight="15"/>
  <cols>
    <col min="1" max="1" width="12.85546875" style="245" customWidth="1"/>
    <col min="2" max="2" width="56" style="245" customWidth="1"/>
    <col min="3" max="3" width="31.42578125" style="245" customWidth="1"/>
    <col min="4" max="4" width="26.42578125" style="245" customWidth="1"/>
    <col min="5" max="5" width="29.42578125" style="245" customWidth="1"/>
    <col min="6" max="16384" width="9.140625" style="245"/>
  </cols>
  <sheetData>
    <row r="2" spans="1:5" ht="26.25" customHeight="1">
      <c r="A2" s="534" t="s">
        <v>619</v>
      </c>
      <c r="B2" s="534"/>
      <c r="C2" s="534"/>
      <c r="D2" s="534"/>
      <c r="E2" s="534"/>
    </row>
    <row r="3" spans="1:5" ht="26.25" customHeight="1">
      <c r="A3" s="535" t="s">
        <v>615</v>
      </c>
      <c r="B3" s="535"/>
      <c r="C3" s="535"/>
      <c r="D3" s="535"/>
      <c r="E3" s="535"/>
    </row>
    <row r="4" spans="1:5" ht="23.25" customHeight="1">
      <c r="A4" s="533" t="s">
        <v>586</v>
      </c>
      <c r="B4" s="533"/>
      <c r="C4" s="533"/>
      <c r="D4" s="533"/>
      <c r="E4" s="533"/>
    </row>
    <row r="5" spans="1:5" ht="240.75" customHeight="1">
      <c r="A5" s="536" t="s">
        <v>620</v>
      </c>
      <c r="B5" s="536"/>
      <c r="C5" s="536"/>
      <c r="D5" s="536"/>
      <c r="E5" s="536"/>
    </row>
    <row r="6" spans="1:5" ht="23.25" customHeight="1">
      <c r="A6" s="533" t="s">
        <v>587</v>
      </c>
      <c r="B6" s="533"/>
      <c r="C6" s="533"/>
      <c r="D6" s="533"/>
      <c r="E6" s="533"/>
    </row>
    <row r="7" spans="1:5" ht="108" customHeight="1">
      <c r="A7" s="543" t="s">
        <v>655</v>
      </c>
      <c r="B7" s="544"/>
      <c r="C7" s="544"/>
      <c r="D7" s="544"/>
      <c r="E7" s="545"/>
    </row>
    <row r="8" spans="1:5" ht="23.25" customHeight="1">
      <c r="A8" s="546" t="s">
        <v>621</v>
      </c>
      <c r="B8" s="546"/>
      <c r="C8" s="546"/>
      <c r="D8" s="546"/>
      <c r="E8" s="546"/>
    </row>
    <row r="9" spans="1:5" ht="105.75" customHeight="1">
      <c r="A9" s="536" t="s">
        <v>659</v>
      </c>
      <c r="B9" s="536"/>
      <c r="C9" s="536"/>
      <c r="D9" s="536"/>
      <c r="E9" s="536"/>
    </row>
    <row r="10" spans="1:5" ht="23.25">
      <c r="A10" s="533" t="s">
        <v>613</v>
      </c>
      <c r="B10" s="533"/>
      <c r="C10" s="533"/>
      <c r="D10" s="533"/>
      <c r="E10" s="533"/>
    </row>
    <row r="11" spans="1:5">
      <c r="A11" s="245" t="s">
        <v>611</v>
      </c>
      <c r="B11" s="245" t="s">
        <v>149</v>
      </c>
    </row>
    <row r="12" spans="1:5" ht="20.25" customHeight="1">
      <c r="A12" s="249"/>
      <c r="B12" s="547" t="s">
        <v>383</v>
      </c>
      <c r="C12" s="548"/>
      <c r="D12" s="548"/>
      <c r="E12" s="549"/>
    </row>
    <row r="13" spans="1:5">
      <c r="A13" s="250"/>
      <c r="B13" s="537" t="s">
        <v>384</v>
      </c>
      <c r="C13" s="537"/>
      <c r="D13" s="537"/>
      <c r="E13" s="537"/>
    </row>
    <row r="14" spans="1:5" s="251" customFormat="1">
      <c r="A14" s="538"/>
      <c r="B14" s="538"/>
      <c r="C14" s="538"/>
      <c r="D14" s="538"/>
      <c r="E14" s="539"/>
    </row>
    <row r="15" spans="1:5" ht="23.25">
      <c r="A15" s="533" t="s">
        <v>614</v>
      </c>
      <c r="B15" s="533"/>
      <c r="C15" s="533"/>
      <c r="D15" s="533"/>
      <c r="E15" s="533"/>
    </row>
    <row r="16" spans="1:5">
      <c r="A16" s="246" t="s">
        <v>588</v>
      </c>
      <c r="B16" s="246" t="s">
        <v>622</v>
      </c>
      <c r="C16" s="246" t="s">
        <v>435</v>
      </c>
      <c r="D16" s="246" t="s">
        <v>589</v>
      </c>
      <c r="E16" s="246" t="s">
        <v>590</v>
      </c>
    </row>
    <row r="17" spans="1:5">
      <c r="A17" s="252" t="s">
        <v>170</v>
      </c>
      <c r="B17" s="252" t="s">
        <v>623</v>
      </c>
      <c r="C17" s="252"/>
      <c r="D17" s="252"/>
      <c r="E17" s="252"/>
    </row>
    <row r="18" spans="1:5" ht="45">
      <c r="A18" s="253" t="s">
        <v>591</v>
      </c>
      <c r="B18" s="247" t="s">
        <v>592</v>
      </c>
      <c r="C18" s="247" t="s">
        <v>656</v>
      </c>
      <c r="D18" s="247" t="s">
        <v>624</v>
      </c>
      <c r="E18" s="247"/>
    </row>
    <row r="19" spans="1:5" ht="60">
      <c r="A19" s="253" t="s">
        <v>593</v>
      </c>
      <c r="B19" s="247" t="s">
        <v>594</v>
      </c>
      <c r="C19" s="247" t="s">
        <v>657</v>
      </c>
      <c r="D19" s="247" t="s">
        <v>625</v>
      </c>
      <c r="E19" s="247"/>
    </row>
    <row r="20" spans="1:5" ht="36" customHeight="1">
      <c r="A20" s="253" t="s">
        <v>595</v>
      </c>
      <c r="B20" s="248" t="s">
        <v>616</v>
      </c>
      <c r="C20" s="247" t="s">
        <v>626</v>
      </c>
      <c r="D20" s="247" t="s">
        <v>627</v>
      </c>
      <c r="E20" s="247" t="s">
        <v>617</v>
      </c>
    </row>
    <row r="21" spans="1:5" ht="30">
      <c r="A21" s="253" t="s">
        <v>597</v>
      </c>
      <c r="B21" s="247" t="s">
        <v>658</v>
      </c>
      <c r="C21" s="247"/>
      <c r="D21" s="247"/>
      <c r="E21" s="247"/>
    </row>
    <row r="22" spans="1:5">
      <c r="A22" s="247">
        <v>4.0999999999999996</v>
      </c>
      <c r="B22" s="247" t="s">
        <v>598</v>
      </c>
      <c r="C22" s="540" t="s">
        <v>628</v>
      </c>
      <c r="D22" s="247" t="s">
        <v>629</v>
      </c>
      <c r="E22" s="247"/>
    </row>
    <row r="23" spans="1:5" ht="30">
      <c r="A23" s="247">
        <v>4.2</v>
      </c>
      <c r="B23" s="247" t="s">
        <v>599</v>
      </c>
      <c r="C23" s="541"/>
      <c r="D23" s="247" t="s">
        <v>630</v>
      </c>
      <c r="E23" s="247"/>
    </row>
    <row r="24" spans="1:5">
      <c r="A24" s="247">
        <v>4.3</v>
      </c>
      <c r="B24" s="247" t="s">
        <v>600</v>
      </c>
      <c r="C24" s="541"/>
      <c r="D24" s="247" t="s">
        <v>631</v>
      </c>
      <c r="E24" s="247"/>
    </row>
    <row r="25" spans="1:5">
      <c r="A25" s="247">
        <v>4.4000000000000004</v>
      </c>
      <c r="B25" s="247" t="s">
        <v>601</v>
      </c>
      <c r="C25" s="541"/>
      <c r="D25" s="247" t="s">
        <v>632</v>
      </c>
      <c r="E25" s="247"/>
    </row>
    <row r="26" spans="1:5">
      <c r="A26" s="247">
        <v>4.5</v>
      </c>
      <c r="B26" s="247" t="s">
        <v>602</v>
      </c>
      <c r="C26" s="541"/>
      <c r="D26" s="247" t="s">
        <v>633</v>
      </c>
      <c r="E26" s="247"/>
    </row>
    <row r="27" spans="1:5">
      <c r="A27" s="247">
        <v>4.5999999999999996</v>
      </c>
      <c r="B27" s="247" t="s">
        <v>603</v>
      </c>
      <c r="C27" s="542"/>
      <c r="D27" s="247" t="s">
        <v>634</v>
      </c>
      <c r="E27" s="247"/>
    </row>
    <row r="28" spans="1:5" ht="45">
      <c r="A28" s="253" t="s">
        <v>604</v>
      </c>
      <c r="B28" s="247" t="s">
        <v>596</v>
      </c>
      <c r="C28" s="247" t="s">
        <v>635</v>
      </c>
      <c r="D28" s="247" t="s">
        <v>660</v>
      </c>
      <c r="E28" s="247"/>
    </row>
    <row r="29" spans="1:5" ht="45">
      <c r="A29" s="253" t="s">
        <v>605</v>
      </c>
      <c r="B29" s="247" t="s">
        <v>636</v>
      </c>
      <c r="C29" s="247" t="s">
        <v>637</v>
      </c>
      <c r="D29" s="247" t="s">
        <v>638</v>
      </c>
      <c r="E29" s="247"/>
    </row>
    <row r="30" spans="1:5" ht="30">
      <c r="A30" s="253" t="s">
        <v>612</v>
      </c>
      <c r="B30" s="247" t="s">
        <v>606</v>
      </c>
      <c r="C30" s="247" t="s">
        <v>639</v>
      </c>
      <c r="D30" s="247" t="s">
        <v>640</v>
      </c>
      <c r="E30" s="247"/>
    </row>
    <row r="31" spans="1:5">
      <c r="A31" s="252" t="s">
        <v>171</v>
      </c>
      <c r="B31" s="254" t="s">
        <v>641</v>
      </c>
      <c r="C31" s="252"/>
      <c r="D31" s="252"/>
      <c r="E31" s="252"/>
    </row>
    <row r="32" spans="1:5" ht="26.25" customHeight="1">
      <c r="A32" s="255" t="s">
        <v>642</v>
      </c>
      <c r="B32" s="247" t="s">
        <v>607</v>
      </c>
      <c r="C32" s="247"/>
      <c r="D32" s="247" t="s">
        <v>643</v>
      </c>
      <c r="E32" s="247" t="s">
        <v>617</v>
      </c>
    </row>
    <row r="33" spans="1:5">
      <c r="A33" s="255" t="s">
        <v>644</v>
      </c>
      <c r="B33" s="247" t="s">
        <v>608</v>
      </c>
      <c r="C33" s="247"/>
      <c r="D33" s="247" t="s">
        <v>645</v>
      </c>
      <c r="E33" s="247" t="s">
        <v>617</v>
      </c>
    </row>
    <row r="34" spans="1:5">
      <c r="A34" s="255" t="s">
        <v>646</v>
      </c>
      <c r="B34" s="247" t="s">
        <v>609</v>
      </c>
      <c r="C34" s="247"/>
      <c r="D34" s="247" t="s">
        <v>647</v>
      </c>
      <c r="E34" s="247" t="s">
        <v>617</v>
      </c>
    </row>
    <row r="35" spans="1:5" ht="35.25" customHeight="1">
      <c r="A35" s="255" t="s">
        <v>648</v>
      </c>
      <c r="B35" s="247" t="s">
        <v>610</v>
      </c>
      <c r="C35" s="247"/>
      <c r="D35" s="247" t="s">
        <v>649</v>
      </c>
      <c r="E35" s="247" t="s">
        <v>617</v>
      </c>
    </row>
    <row r="36" spans="1:5" ht="35.25" customHeight="1">
      <c r="A36" s="255" t="s">
        <v>650</v>
      </c>
      <c r="B36" s="247" t="s">
        <v>651</v>
      </c>
      <c r="C36" s="247"/>
      <c r="D36" s="247" t="s">
        <v>652</v>
      </c>
      <c r="E36" s="247" t="s">
        <v>617</v>
      </c>
    </row>
    <row r="37" spans="1:5">
      <c r="A37" s="253" t="s">
        <v>653</v>
      </c>
      <c r="B37" s="247" t="s">
        <v>654</v>
      </c>
      <c r="C37" s="247"/>
      <c r="D37" s="247"/>
      <c r="E37" s="247"/>
    </row>
  </sheetData>
  <mergeCells count="14">
    <mergeCell ref="B13:E13"/>
    <mergeCell ref="A14:E14"/>
    <mergeCell ref="A15:E15"/>
    <mergeCell ref="C22:C27"/>
    <mergeCell ref="A7:E7"/>
    <mergeCell ref="A8:E8"/>
    <mergeCell ref="A9:E9"/>
    <mergeCell ref="A10:E10"/>
    <mergeCell ref="B12:E12"/>
    <mergeCell ref="A6:E6"/>
    <mergeCell ref="A2:E2"/>
    <mergeCell ref="A3:E3"/>
    <mergeCell ref="A4:E4"/>
    <mergeCell ref="A5:E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5:S181"/>
  <sheetViews>
    <sheetView view="pageBreakPreview" topLeftCell="A20" zoomScale="80" zoomScaleSheetLayoutView="80" workbookViewId="0">
      <selection activeCell="C49" sqref="C49"/>
    </sheetView>
  </sheetViews>
  <sheetFormatPr defaultRowHeight="15"/>
  <cols>
    <col min="2" max="2" width="32.7109375" bestFit="1" customWidth="1"/>
    <col min="3" max="3" width="18.7109375" bestFit="1" customWidth="1"/>
    <col min="4" max="5" width="15.8554687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589" t="s">
        <v>543</v>
      </c>
      <c r="C5" s="589"/>
      <c r="D5" s="589"/>
      <c r="E5" s="589"/>
      <c r="F5" s="589"/>
      <c r="G5" s="589"/>
      <c r="H5" s="589"/>
      <c r="I5" s="589"/>
      <c r="J5" s="589"/>
    </row>
    <row r="6" spans="2:10" ht="16.5">
      <c r="B6" s="6"/>
      <c r="C6" s="6"/>
      <c r="D6" s="6"/>
      <c r="E6" s="6"/>
      <c r="F6" s="6"/>
      <c r="G6" s="6"/>
      <c r="H6" s="6"/>
      <c r="I6" s="6"/>
      <c r="J6" s="6"/>
    </row>
    <row r="7" spans="2:10" ht="15.75">
      <c r="B7" s="69" t="s">
        <v>29</v>
      </c>
      <c r="C7" s="70" t="s">
        <v>324</v>
      </c>
      <c r="D7" s="70" t="s">
        <v>2</v>
      </c>
      <c r="E7" s="70" t="s">
        <v>3</v>
      </c>
      <c r="F7" s="70" t="s">
        <v>4</v>
      </c>
      <c r="G7" s="70" t="s">
        <v>5</v>
      </c>
      <c r="H7" s="70" t="s">
        <v>6</v>
      </c>
      <c r="I7" s="70" t="s">
        <v>166</v>
      </c>
      <c r="J7" s="70" t="s">
        <v>165</v>
      </c>
    </row>
    <row r="8" spans="2:10">
      <c r="B8" s="71"/>
      <c r="C8" s="71"/>
      <c r="D8" s="71"/>
      <c r="E8" s="71"/>
      <c r="F8" s="71"/>
      <c r="G8" s="71"/>
      <c r="H8" s="71"/>
      <c r="I8" s="71"/>
      <c r="J8" s="71"/>
    </row>
    <row r="9" spans="2:10">
      <c r="B9" s="71" t="s">
        <v>30</v>
      </c>
      <c r="C9" s="71"/>
      <c r="D9" s="438">
        <f>'6.Cons Profit &amp; Loss'!B54</f>
        <v>-593540.48428390932</v>
      </c>
      <c r="E9" s="438">
        <f>'6.Cons Profit &amp; Loss'!C54</f>
        <v>618902.702671665</v>
      </c>
      <c r="F9" s="438">
        <f>'6.Cons Profit &amp; Loss'!D54</f>
        <v>1527137.1264419814</v>
      </c>
      <c r="G9" s="438">
        <f>'6.Cons Profit &amp; Loss'!E54</f>
        <v>2465726.9964246834</v>
      </c>
      <c r="H9" s="438">
        <f>'6.Cons Profit &amp; Loss'!F54</f>
        <v>3448235.8635291005</v>
      </c>
      <c r="I9" s="438">
        <f>'6.Cons Profit &amp; Loss'!G54</f>
        <v>4487202.6159913</v>
      </c>
      <c r="J9" s="438">
        <f>'6.Cons Profit &amp; Loss'!H54</f>
        <v>5513330.9541318305</v>
      </c>
    </row>
    <row r="10" spans="2:10">
      <c r="B10" s="71"/>
      <c r="C10" s="71"/>
      <c r="D10" s="72"/>
      <c r="E10" s="72"/>
      <c r="F10" s="72"/>
      <c r="G10" s="72"/>
      <c r="H10" s="72"/>
      <c r="I10" s="72"/>
      <c r="J10" s="72"/>
    </row>
    <row r="11" spans="2:10">
      <c r="B11" s="73" t="s">
        <v>31</v>
      </c>
      <c r="C11" s="73"/>
      <c r="D11" s="438">
        <f>'6.Cons Profit &amp; Loss'!B42</f>
        <v>2321086.0109999999</v>
      </c>
      <c r="E11" s="438">
        <f>'6.Cons Profit &amp; Loss'!C42</f>
        <v>1905225.412339</v>
      </c>
      <c r="F11" s="438">
        <f>'6.Cons Profit &amp; Loss'!D42</f>
        <v>1576812.7276190149</v>
      </c>
      <c r="G11" s="438">
        <f>'6.Cons Profit &amp; Loss'!E42</f>
        <v>1314933.8647945458</v>
      </c>
      <c r="H11" s="438">
        <f>'6.Cons Profit &amp; Loss'!F42</f>
        <v>1104170.4406287007</v>
      </c>
      <c r="I11" s="438">
        <f>'6.Cons Profit &amp; Loss'!G42</f>
        <v>933059.36382816546</v>
      </c>
      <c r="J11" s="438">
        <f>'6.Cons Profit &amp; Loss'!H42</f>
        <v>793002.753828204</v>
      </c>
    </row>
    <row r="12" spans="2:10">
      <c r="B12" s="71" t="s">
        <v>36</v>
      </c>
      <c r="C12" s="71"/>
      <c r="D12" s="438">
        <f>'6.Cons Profit &amp; Loss'!B43</f>
        <v>62486</v>
      </c>
      <c r="E12" s="438">
        <f>'6.Cons Profit &amp; Loss'!C43</f>
        <v>62486</v>
      </c>
      <c r="F12" s="438">
        <f>'6.Cons Profit &amp; Loss'!D43</f>
        <v>62486</v>
      </c>
      <c r="G12" s="438">
        <f>'6.Cons Profit &amp; Loss'!E43</f>
        <v>62486</v>
      </c>
      <c r="H12" s="438">
        <f>'6.Cons Profit &amp; Loss'!F43</f>
        <v>62486</v>
      </c>
      <c r="I12" s="438">
        <f>'6.Cons Profit &amp; Loss'!G43</f>
        <v>0</v>
      </c>
      <c r="J12" s="438">
        <f>'6.Cons Profit &amp; Loss'!H43</f>
        <v>0</v>
      </c>
    </row>
    <row r="13" spans="2:10">
      <c r="B13" s="71"/>
      <c r="C13" s="71"/>
      <c r="D13" s="71"/>
      <c r="E13" s="71"/>
      <c r="F13" s="71"/>
      <c r="G13" s="71"/>
      <c r="H13" s="71"/>
      <c r="I13" s="71"/>
      <c r="J13" s="71"/>
    </row>
    <row r="14" spans="2:10">
      <c r="B14" s="71" t="s">
        <v>32</v>
      </c>
      <c r="C14" s="71"/>
      <c r="D14" s="438">
        <f>SUM(D9:D12)</f>
        <v>1790031.5267160907</v>
      </c>
      <c r="E14" s="438">
        <f t="shared" ref="E14:J14" si="0">SUM(E9:E12)</f>
        <v>2586614.1150106648</v>
      </c>
      <c r="F14" s="438">
        <f t="shared" si="0"/>
        <v>3166435.8540609963</v>
      </c>
      <c r="G14" s="438">
        <f t="shared" si="0"/>
        <v>3843146.8612192292</v>
      </c>
      <c r="H14" s="438">
        <f t="shared" si="0"/>
        <v>4614892.304157801</v>
      </c>
      <c r="I14" s="438">
        <f t="shared" si="0"/>
        <v>5420261.9798194654</v>
      </c>
      <c r="J14" s="438">
        <f t="shared" si="0"/>
        <v>6306333.7079600347</v>
      </c>
    </row>
    <row r="15" spans="2:10">
      <c r="B15" s="71" t="s">
        <v>333</v>
      </c>
      <c r="C15" s="437">
        <f>-'1.Project Cost and MOF'!E22+'1.Project Cost and MOF'!D11</f>
        <v>-15726539</v>
      </c>
      <c r="D15" s="438">
        <f>D14</f>
        <v>1790031.5267160907</v>
      </c>
      <c r="E15" s="438">
        <f t="shared" ref="E15:J15" si="1">E14</f>
        <v>2586614.1150106648</v>
      </c>
      <c r="F15" s="438">
        <f t="shared" si="1"/>
        <v>3166435.8540609963</v>
      </c>
      <c r="G15" s="438">
        <f t="shared" si="1"/>
        <v>3843146.8612192292</v>
      </c>
      <c r="H15" s="438">
        <f t="shared" si="1"/>
        <v>4614892.304157801</v>
      </c>
      <c r="I15" s="438">
        <f t="shared" si="1"/>
        <v>5420261.9798194654</v>
      </c>
      <c r="J15" s="438">
        <f t="shared" si="1"/>
        <v>6306333.7079600347</v>
      </c>
    </row>
    <row r="16" spans="2:10">
      <c r="B16" s="71" t="s">
        <v>273</v>
      </c>
      <c r="C16" s="211">
        <f>IRR(C15:J15)</f>
        <v>0.1337237462595311</v>
      </c>
      <c r="D16" s="72"/>
      <c r="E16" s="72"/>
      <c r="F16" s="72"/>
      <c r="G16" s="72"/>
      <c r="H16" s="72"/>
      <c r="I16" s="72"/>
      <c r="J16" s="72"/>
    </row>
    <row r="17" spans="2:19">
      <c r="B17" s="71"/>
      <c r="C17" s="71"/>
      <c r="D17" s="71"/>
      <c r="E17" s="71"/>
      <c r="F17" s="71"/>
      <c r="G17" s="71"/>
      <c r="H17" s="71"/>
      <c r="I17" s="71"/>
      <c r="J17" s="71"/>
    </row>
    <row r="18" spans="2:19" ht="16.5">
      <c r="B18" s="212" t="s">
        <v>386</v>
      </c>
      <c r="C18" s="212"/>
      <c r="D18" s="213">
        <f>1/(1+$C$16)</f>
        <v>0.88204909114700758</v>
      </c>
      <c r="E18" s="214">
        <f t="shared" ref="E18:J18" si="2">D18/(1+$C$16)</f>
        <v>0.7780105991932621</v>
      </c>
      <c r="F18" s="214">
        <f t="shared" si="2"/>
        <v>0.68624354192115555</v>
      </c>
      <c r="G18" s="214">
        <f t="shared" si="2"/>
        <v>0.60530049245705864</v>
      </c>
      <c r="H18" s="214">
        <f t="shared" si="2"/>
        <v>0.53390474924258469</v>
      </c>
      <c r="I18" s="214">
        <f t="shared" si="2"/>
        <v>0.4709301988284928</v>
      </c>
      <c r="J18" s="214">
        <f t="shared" si="2"/>
        <v>0.41538355387035164</v>
      </c>
      <c r="L18" s="13"/>
      <c r="M18" s="13"/>
      <c r="N18" s="13"/>
      <c r="O18" s="13"/>
      <c r="P18" s="13"/>
      <c r="Q18" s="13"/>
      <c r="R18" s="13"/>
      <c r="S18" s="13"/>
    </row>
    <row r="19" spans="2:19">
      <c r="B19" s="71" t="s">
        <v>33</v>
      </c>
      <c r="C19" s="71"/>
      <c r="D19" s="438">
        <f t="shared" ref="D19:J19" si="3">D14*D18</f>
        <v>1578895.6812644182</v>
      </c>
      <c r="E19" s="438">
        <f t="shared" si="3"/>
        <v>2012413.1975011968</v>
      </c>
      <c r="F19" s="438">
        <f t="shared" si="3"/>
        <v>2172946.1557569574</v>
      </c>
      <c r="G19" s="438">
        <f t="shared" si="3"/>
        <v>2326258.6876807986</v>
      </c>
      <c r="H19" s="438">
        <f t="shared" si="3"/>
        <v>2463912.9184329044</v>
      </c>
      <c r="I19" s="438">
        <f t="shared" si="3"/>
        <v>2552565.051858901</v>
      </c>
      <c r="J19" s="438">
        <f t="shared" si="3"/>
        <v>2619547.3075048313</v>
      </c>
      <c r="L19" s="4"/>
    </row>
    <row r="20" spans="2:19">
      <c r="B20" s="71" t="s">
        <v>34</v>
      </c>
      <c r="C20" s="71"/>
      <c r="D20" s="596">
        <f>SUM(D19:J19)</f>
        <v>15726539.000000009</v>
      </c>
      <c r="E20" s="596"/>
      <c r="F20" s="596"/>
      <c r="G20" s="596"/>
      <c r="H20" s="596"/>
      <c r="I20" s="596"/>
      <c r="J20" s="596"/>
      <c r="L20" s="4"/>
    </row>
    <row r="21" spans="2:19">
      <c r="B21" s="71"/>
      <c r="C21" s="71"/>
      <c r="D21" s="72"/>
      <c r="E21" s="72"/>
      <c r="F21" s="72"/>
      <c r="G21" s="72"/>
      <c r="H21" s="72"/>
      <c r="I21" s="72"/>
      <c r="J21" s="72"/>
    </row>
    <row r="22" spans="2:19">
      <c r="B22" s="7" t="s">
        <v>35</v>
      </c>
      <c r="C22" s="7"/>
      <c r="D22" s="597">
        <f>'1.Project Cost and MOF'!D12-'1.Project Cost and MOF'!D11</f>
        <v>15726539</v>
      </c>
      <c r="E22" s="597"/>
      <c r="F22" s="597"/>
      <c r="G22" s="597"/>
      <c r="H22" s="597"/>
      <c r="I22" s="597"/>
      <c r="J22" s="597"/>
    </row>
    <row r="23" spans="2:19">
      <c r="F23" s="13">
        <f>D20-D22</f>
        <v>0</v>
      </c>
    </row>
    <row r="24" spans="2:19" ht="29.45" customHeight="1">
      <c r="B24" s="590" t="s">
        <v>403</v>
      </c>
      <c r="C24" s="590"/>
      <c r="D24" s="590"/>
      <c r="E24" s="590"/>
      <c r="F24" s="590"/>
      <c r="G24" s="590"/>
      <c r="H24" s="590"/>
      <c r="I24" s="590"/>
      <c r="J24" s="590"/>
    </row>
    <row r="25" spans="2:19">
      <c r="K25" s="13"/>
      <c r="L25" s="13"/>
      <c r="M25" s="13"/>
    </row>
    <row r="26" spans="2:19" ht="18.75">
      <c r="B26" s="562" t="s">
        <v>544</v>
      </c>
      <c r="C26" s="562"/>
      <c r="D26" s="562"/>
      <c r="E26" s="562"/>
      <c r="F26" s="562"/>
      <c r="G26" s="562"/>
      <c r="H26" s="562"/>
      <c r="I26" s="562"/>
    </row>
    <row r="27" spans="2:19">
      <c r="K27" s="13"/>
    </row>
    <row r="28" spans="2:19">
      <c r="B28" s="94" t="s">
        <v>0</v>
      </c>
      <c r="C28" s="85" t="s">
        <v>2</v>
      </c>
      <c r="D28" s="85" t="s">
        <v>3</v>
      </c>
      <c r="E28" s="85" t="s">
        <v>4</v>
      </c>
      <c r="F28" s="85" t="s">
        <v>5</v>
      </c>
      <c r="G28" s="85" t="s">
        <v>6</v>
      </c>
      <c r="H28" s="85" t="s">
        <v>166</v>
      </c>
      <c r="I28" s="85" t="s">
        <v>165</v>
      </c>
    </row>
    <row r="29" spans="2:19">
      <c r="B29" s="76"/>
      <c r="C29" s="76"/>
      <c r="D29" s="76"/>
      <c r="E29" s="76"/>
      <c r="F29" s="76"/>
      <c r="G29" s="76"/>
      <c r="H29" s="76"/>
      <c r="I29" s="76"/>
    </row>
    <row r="30" spans="2:19">
      <c r="B30" s="76" t="s">
        <v>37</v>
      </c>
      <c r="C30" s="76"/>
      <c r="D30" s="76"/>
      <c r="E30" s="76"/>
      <c r="F30" s="76"/>
      <c r="G30" s="76"/>
      <c r="H30" s="76"/>
      <c r="I30" s="76"/>
    </row>
    <row r="31" spans="2:19">
      <c r="B31" s="76"/>
      <c r="C31" s="77"/>
      <c r="D31" s="77"/>
      <c r="E31" s="77"/>
      <c r="F31" s="77"/>
      <c r="G31" s="77"/>
      <c r="H31" s="77"/>
      <c r="I31" s="77"/>
    </row>
    <row r="32" spans="2:19">
      <c r="B32" s="91" t="str">
        <f>'6.Cons Profit &amp; Loss'!A8</f>
        <v>Faclitiy 1 - Cleaning &amp; Grading</v>
      </c>
      <c r="C32" s="77">
        <f>'6.Cons Profit &amp; Loss'!B8</f>
        <v>55908811.900124982</v>
      </c>
      <c r="D32" s="77">
        <f>'6.Cons Profit &amp; Loss'!C8</f>
        <v>64883647.494618751</v>
      </c>
      <c r="E32" s="77">
        <f>'6.Cons Profit &amp; Loss'!D8</f>
        <v>71542758.684855938</v>
      </c>
      <c r="F32" s="77">
        <f>'6.Cons Profit &amp; Loss'!E8</f>
        <v>78705571.875380307</v>
      </c>
      <c r="G32" s="77">
        <f>'6.Cons Profit &amp; Loss'!F8</f>
        <v>86405809.488244981</v>
      </c>
      <c r="H32" s="77">
        <f>'6.Cons Profit &amp; Loss'!G8</f>
        <v>94679306.932707638</v>
      </c>
      <c r="I32" s="77">
        <f>'6.Cons Profit &amp; Loss'!H8</f>
        <v>103564139.59789598</v>
      </c>
    </row>
    <row r="33" spans="2:9">
      <c r="B33" s="91" t="str">
        <f>'6.Cons Profit &amp; Loss'!A9</f>
        <v>Faclitiy 2 - Processing Unit- Feed Mill</v>
      </c>
      <c r="C33" s="77">
        <f>'6.Cons Profit &amp; Loss'!B9</f>
        <v>5760878.365384616</v>
      </c>
      <c r="D33" s="77">
        <f>'6.Cons Profit &amp; Loss'!C9</f>
        <v>12188042.237209007</v>
      </c>
      <c r="E33" s="77">
        <f>'6.Cons Profit &amp; Loss'!D9</f>
        <v>19243520.300302383</v>
      </c>
      <c r="F33" s="77">
        <f>'6.Cons Profit &amp; Loss'!E9</f>
        <v>26974076.064112067</v>
      </c>
      <c r="G33" s="77">
        <f>'6.Cons Profit &amp; Loss'!F9</f>
        <v>35429578.603551969</v>
      </c>
      <c r="H33" s="77">
        <f>'6.Cons Profit &amp; Loss'!G9</f>
        <v>44663196.206775576</v>
      </c>
      <c r="I33" s="77">
        <f>'6.Cons Profit &amp; Loss'!H9</f>
        <v>54731601.623812661</v>
      </c>
    </row>
    <row r="34" spans="2:9">
      <c r="B34" s="91" t="str">
        <f>'6.Cons Profit &amp; Loss'!A10</f>
        <v>Faclitiy 3 - Warehouse</v>
      </c>
      <c r="C34" s="77">
        <f>'6.Cons Profit &amp; Loss'!B10</f>
        <v>0</v>
      </c>
      <c r="D34" s="77">
        <f>'6.Cons Profit &amp; Loss'!C10</f>
        <v>0</v>
      </c>
      <c r="E34" s="77">
        <f>'6.Cons Profit &amp; Loss'!D10</f>
        <v>0</v>
      </c>
      <c r="F34" s="77">
        <f>'6.Cons Profit &amp; Loss'!E10</f>
        <v>0</v>
      </c>
      <c r="G34" s="77">
        <f>'6.Cons Profit &amp; Loss'!F10</f>
        <v>0</v>
      </c>
      <c r="H34" s="77">
        <f>'6.Cons Profit &amp; Loss'!G10</f>
        <v>0</v>
      </c>
      <c r="I34" s="77">
        <f>'6.Cons Profit &amp; Loss'!H10</f>
        <v>0</v>
      </c>
    </row>
    <row r="35" spans="2:9">
      <c r="B35" s="91" t="str">
        <f>'6.Cons Profit &amp; Loss'!A11</f>
        <v xml:space="preserve">Faclitiy 4 - Custom Hiring </v>
      </c>
      <c r="C35" s="77">
        <f>'6.Cons Profit &amp; Loss'!B11</f>
        <v>0</v>
      </c>
      <c r="D35" s="77">
        <f>'6.Cons Profit &amp; Loss'!C11</f>
        <v>0</v>
      </c>
      <c r="E35" s="77">
        <f>'6.Cons Profit &amp; Loss'!D11</f>
        <v>0</v>
      </c>
      <c r="F35" s="77">
        <f>'6.Cons Profit &amp; Loss'!E11</f>
        <v>0</v>
      </c>
      <c r="G35" s="77">
        <f>'6.Cons Profit &amp; Loss'!F11</f>
        <v>0</v>
      </c>
      <c r="H35" s="77">
        <f>'6.Cons Profit &amp; Loss'!G11</f>
        <v>0</v>
      </c>
      <c r="I35" s="77">
        <f>'6.Cons Profit &amp; Loss'!H11</f>
        <v>0</v>
      </c>
    </row>
    <row r="36" spans="2:9">
      <c r="B36" s="91" t="str">
        <f>'6.Cons Profit &amp; Loss'!A12</f>
        <v>Faclitiy 5 - Agri Input Centre</v>
      </c>
      <c r="C36" s="77">
        <f>'6.Cons Profit &amp; Loss'!B12</f>
        <v>0</v>
      </c>
      <c r="D36" s="77">
        <f>'6.Cons Profit &amp; Loss'!C12</f>
        <v>0</v>
      </c>
      <c r="E36" s="77">
        <f>'6.Cons Profit &amp; Loss'!D12</f>
        <v>0</v>
      </c>
      <c r="F36" s="77">
        <f>'6.Cons Profit &amp; Loss'!E12</f>
        <v>0</v>
      </c>
      <c r="G36" s="77">
        <f>'6.Cons Profit &amp; Loss'!F12</f>
        <v>0</v>
      </c>
      <c r="H36" s="77">
        <f>'6.Cons Profit &amp; Loss'!G12</f>
        <v>0</v>
      </c>
      <c r="I36" s="77">
        <f>'6.Cons Profit &amp; Loss'!H12</f>
        <v>0</v>
      </c>
    </row>
    <row r="37" spans="2:9">
      <c r="B37" s="91" t="str">
        <f>'6.Cons Profit &amp; Loss'!A13</f>
        <v>Facility 6 - Processing Unit - Horti Commodity</v>
      </c>
      <c r="C37" s="77">
        <f>'6.Cons Profit &amp; Loss'!B13</f>
        <v>0</v>
      </c>
      <c r="D37" s="77">
        <f>'6.Cons Profit &amp; Loss'!C13</f>
        <v>0</v>
      </c>
      <c r="E37" s="77">
        <f>'6.Cons Profit &amp; Loss'!D13</f>
        <v>0</v>
      </c>
      <c r="F37" s="77">
        <f>'6.Cons Profit &amp; Loss'!E13</f>
        <v>0</v>
      </c>
      <c r="G37" s="77">
        <f>'6.Cons Profit &amp; Loss'!F13</f>
        <v>0</v>
      </c>
      <c r="H37" s="77">
        <f>'6.Cons Profit &amp; Loss'!G13</f>
        <v>0</v>
      </c>
      <c r="I37" s="77">
        <f>'6.Cons Profit &amp; Loss'!H13</f>
        <v>0</v>
      </c>
    </row>
    <row r="38" spans="2:9">
      <c r="B38" s="91"/>
      <c r="C38" s="91"/>
      <c r="D38" s="91"/>
      <c r="E38" s="91"/>
      <c r="F38" s="91"/>
      <c r="G38" s="91"/>
      <c r="H38" s="91"/>
      <c r="I38" s="91"/>
    </row>
    <row r="39" spans="2:9">
      <c r="B39" s="76" t="s">
        <v>8</v>
      </c>
      <c r="C39" s="77">
        <f>SUM(C32:C38)</f>
        <v>61669690.265509598</v>
      </c>
      <c r="D39" s="77">
        <f t="shared" ref="D39:I39" si="4">SUM(D32:D38)</f>
        <v>77071689.731827766</v>
      </c>
      <c r="E39" s="77">
        <f t="shared" si="4"/>
        <v>90786278.985158324</v>
      </c>
      <c r="F39" s="77">
        <f t="shared" si="4"/>
        <v>105679647.93949237</v>
      </c>
      <c r="G39" s="77">
        <f t="shared" si="4"/>
        <v>121835388.09179695</v>
      </c>
      <c r="H39" s="77">
        <f t="shared" si="4"/>
        <v>139342503.13948321</v>
      </c>
      <c r="I39" s="77">
        <f t="shared" si="4"/>
        <v>158295741.22170866</v>
      </c>
    </row>
    <row r="40" spans="2:9">
      <c r="B40" s="76"/>
      <c r="C40" s="77"/>
      <c r="D40" s="77"/>
      <c r="E40" s="77"/>
      <c r="F40" s="77"/>
      <c r="G40" s="77"/>
      <c r="H40" s="77"/>
      <c r="I40" s="77"/>
    </row>
    <row r="41" spans="2:9">
      <c r="B41" s="76" t="s">
        <v>38</v>
      </c>
      <c r="C41" s="77">
        <f>'6.Cons Profit &amp; Loss'!B25</f>
        <v>57279107.209353834</v>
      </c>
      <c r="D41" s="77">
        <f>'6.Cons Profit &amp; Loss'!C25</f>
        <v>71152615.155451521</v>
      </c>
      <c r="E41" s="77">
        <f>'6.Cons Profit &amp; Loss'!D25</f>
        <v>83536358.574371085</v>
      </c>
      <c r="F41" s="77">
        <f>'6.Cons Profit &amp; Loss'!E25</f>
        <v>96980594.797293931</v>
      </c>
      <c r="G41" s="77">
        <f>'6.Cons Profit &amp; Loss'!F25</f>
        <v>111560413.74607322</v>
      </c>
      <c r="H41" s="77">
        <f>'6.Cons Profit &amp; Loss'!G25</f>
        <v>127355763.10273716</v>
      </c>
      <c r="I41" s="77">
        <f>'6.Cons Profit &amp; Loss'!H25</f>
        <v>144451746.36070234</v>
      </c>
    </row>
    <row r="42" spans="2:9">
      <c r="B42" s="76"/>
      <c r="C42" s="77"/>
      <c r="D42" s="77"/>
      <c r="E42" s="77"/>
      <c r="F42" s="77"/>
      <c r="G42" s="77"/>
      <c r="H42" s="77"/>
      <c r="I42" s="77"/>
    </row>
    <row r="43" spans="2:9">
      <c r="B43" s="78" t="s">
        <v>39</v>
      </c>
      <c r="C43" s="96">
        <f>C39-C41</f>
        <v>4390583.0561557636</v>
      </c>
      <c r="D43" s="96">
        <f t="shared" ref="D43:I43" si="5">D39-D41</f>
        <v>5919074.5763762444</v>
      </c>
      <c r="E43" s="96">
        <f t="shared" si="5"/>
        <v>7249920.4107872397</v>
      </c>
      <c r="F43" s="96">
        <f t="shared" si="5"/>
        <v>8699053.1421984434</v>
      </c>
      <c r="G43" s="96">
        <f t="shared" si="5"/>
        <v>10274974.345723733</v>
      </c>
      <c r="H43" s="96">
        <f t="shared" si="5"/>
        <v>11986740.036746055</v>
      </c>
      <c r="I43" s="96">
        <f t="shared" si="5"/>
        <v>13843994.86100632</v>
      </c>
    </row>
    <row r="44" spans="2:9">
      <c r="B44" s="76"/>
      <c r="C44" s="77"/>
      <c r="D44" s="77"/>
      <c r="E44" s="77"/>
      <c r="F44" s="77"/>
      <c r="G44" s="77"/>
      <c r="H44" s="77"/>
      <c r="I44" s="77"/>
    </row>
    <row r="45" spans="2:9">
      <c r="B45" s="78" t="s">
        <v>41</v>
      </c>
      <c r="C45" s="96">
        <f>'6.Cons Profit &amp; Loss'!B36+'6.Cons Profit &amp; Loss'!B42+'6.Cons Profit &amp; Loss'!B43+'6.Cons Profit &amp; Loss'!B47</f>
        <v>5181970.3685343098</v>
      </c>
      <c r="D45" s="96">
        <f>'6.Cons Profit &amp; Loss'!C36+'6.Cons Profit &amp; Loss'!C42+'6.Cons Profit &amp; Loss'!C43+'6.Cons Profit &amp; Loss'!C47</f>
        <v>4803934.5715624336</v>
      </c>
      <c r="E45" s="96">
        <f>'6.Cons Profit &amp; Loss'!D36+'6.Cons Profit &amp; Loss'!D42+'6.Cons Profit &amp; Loss'!D43+'6.Cons Profit &amp; Loss'!D47</f>
        <v>4498321.9847656516</v>
      </c>
      <c r="F45" s="96">
        <f>'6.Cons Profit &amp; Loss'!E36+'6.Cons Profit &amp; Loss'!E42+'6.Cons Profit &amp; Loss'!E43+'6.Cons Profit &amp; Loss'!E47</f>
        <v>4256301.7972891051</v>
      </c>
      <c r="G45" s="96">
        <f>'6.Cons Profit &amp; Loss'!F36+'6.Cons Profit &amp; Loss'!F42+'6.Cons Profit &amp; Loss'!F43+'6.Cons Profit &amp; Loss'!F47</f>
        <v>4061936.7537794132</v>
      </c>
      <c r="H45" s="96">
        <f>'6.Cons Profit &amp; Loss'!G36+'6.Cons Profit &amp; Loss'!G42+'6.Cons Profit &amp; Loss'!G43+'6.Cons Profit &amp; Loss'!G47</f>
        <v>3901690.2782031666</v>
      </c>
      <c r="I45" s="96">
        <f>'6.Cons Profit &amp; Loss'!H36+'6.Cons Profit &amp; Loss'!H42+'6.Cons Profit &amp; Loss'!H43+'6.Cons Profit &amp; Loss'!H47</f>
        <v>3910065.2139219544</v>
      </c>
    </row>
    <row r="46" spans="2:9">
      <c r="B46" s="76"/>
      <c r="C46" s="76"/>
      <c r="D46" s="76"/>
      <c r="E46" s="76"/>
      <c r="F46" s="76"/>
      <c r="G46" s="76"/>
      <c r="H46" s="76"/>
      <c r="I46" s="76"/>
    </row>
    <row r="47" spans="2:9">
      <c r="B47" s="76" t="s">
        <v>40</v>
      </c>
      <c r="C47" s="95">
        <f>C45/C43</f>
        <v>1.1802465190287179</v>
      </c>
      <c r="D47" s="95">
        <f>D45/D43</f>
        <v>0.81160230532244482</v>
      </c>
      <c r="E47" s="95">
        <f>E45/E43</f>
        <v>0.62046501615004579</v>
      </c>
      <c r="F47" s="95">
        <f>F45/F43</f>
        <v>0.48928334241828109</v>
      </c>
      <c r="G47" s="95">
        <f>G45/G43</f>
        <v>0.39532329883333683</v>
      </c>
      <c r="H47" s="95">
        <f t="shared" ref="H47:I47" si="6">H45/H43</f>
        <v>0.32550053360983106</v>
      </c>
      <c r="I47" s="95">
        <f t="shared" si="6"/>
        <v>0.2824376383535967</v>
      </c>
    </row>
    <row r="48" spans="2:9">
      <c r="B48" s="75"/>
      <c r="C48" s="75"/>
      <c r="D48" s="75"/>
      <c r="E48" s="75"/>
      <c r="F48" s="75"/>
      <c r="G48" s="75"/>
      <c r="H48" s="75"/>
      <c r="I48" s="75"/>
    </row>
    <row r="49" spans="2:10">
      <c r="B49" s="97" t="s">
        <v>134</v>
      </c>
      <c r="C49" s="98">
        <f>AVERAGE(C47:I47)</f>
        <v>0.58640837910232191</v>
      </c>
      <c r="D49" s="75"/>
      <c r="E49" s="75"/>
      <c r="F49" s="75"/>
      <c r="G49" s="75"/>
      <c r="H49" s="75"/>
      <c r="I49" s="75"/>
    </row>
    <row r="51" spans="2:10" ht="41.45" customHeight="1">
      <c r="B51" s="591" t="s">
        <v>404</v>
      </c>
      <c r="C51" s="591"/>
      <c r="D51" s="591"/>
      <c r="E51" s="591"/>
      <c r="F51" s="591"/>
      <c r="G51" s="591"/>
      <c r="H51" s="591"/>
      <c r="I51" s="591"/>
      <c r="J51" s="591"/>
    </row>
    <row r="52" spans="2:10">
      <c r="C52" s="531"/>
    </row>
    <row r="54" spans="2:10" ht="18.75">
      <c r="B54" s="562" t="s">
        <v>545</v>
      </c>
      <c r="C54" s="562"/>
      <c r="D54" s="562"/>
      <c r="E54" s="562"/>
      <c r="F54" s="562"/>
      <c r="G54" s="562"/>
      <c r="H54" s="562"/>
      <c r="I54" s="562"/>
    </row>
    <row r="56" spans="2:10">
      <c r="B56" s="65" t="s">
        <v>29</v>
      </c>
      <c r="C56" s="66" t="s">
        <v>2</v>
      </c>
      <c r="D56" s="66" t="s">
        <v>3</v>
      </c>
      <c r="E56" s="66" t="s">
        <v>4</v>
      </c>
      <c r="F56" s="66" t="s">
        <v>5</v>
      </c>
      <c r="G56" s="66" t="s">
        <v>6</v>
      </c>
      <c r="H56" s="66" t="s">
        <v>166</v>
      </c>
      <c r="I56" s="66" t="s">
        <v>165</v>
      </c>
    </row>
    <row r="57" spans="2:10">
      <c r="B57" s="76"/>
      <c r="C57" s="76"/>
      <c r="D57" s="76"/>
      <c r="E57" s="76"/>
      <c r="F57" s="76"/>
      <c r="G57" s="76"/>
      <c r="H57" s="76"/>
      <c r="I57" s="76"/>
    </row>
    <row r="58" spans="2:10">
      <c r="B58" s="76" t="s">
        <v>361</v>
      </c>
      <c r="C58" s="241">
        <f>+'6.Cons Profit &amp; Loss'!B54</f>
        <v>-593540.48428390932</v>
      </c>
      <c r="D58" s="241">
        <f>+'6.Cons Profit &amp; Loss'!C54</f>
        <v>618902.702671665</v>
      </c>
      <c r="E58" s="241">
        <f>+'6.Cons Profit &amp; Loss'!D54</f>
        <v>1527137.1264419814</v>
      </c>
      <c r="F58" s="241">
        <f>+'6.Cons Profit &amp; Loss'!E54</f>
        <v>2465726.9964246834</v>
      </c>
      <c r="G58" s="241">
        <f>+'6.Cons Profit &amp; Loss'!F54</f>
        <v>3448235.8635291005</v>
      </c>
      <c r="H58" s="241">
        <f>+'6.Cons Profit &amp; Loss'!G54</f>
        <v>4487202.6159913</v>
      </c>
      <c r="I58" s="241">
        <f>+'6.Cons Profit &amp; Loss'!H54</f>
        <v>5513330.9541318305</v>
      </c>
    </row>
    <row r="59" spans="2:10">
      <c r="B59" s="76"/>
      <c r="C59" s="241"/>
      <c r="D59" s="241"/>
      <c r="E59" s="241"/>
      <c r="F59" s="241"/>
      <c r="G59" s="241"/>
      <c r="H59" s="241"/>
      <c r="I59" s="241"/>
    </row>
    <row r="60" spans="2:10">
      <c r="B60" s="76" t="s">
        <v>42</v>
      </c>
      <c r="C60" s="241">
        <f>'6.Cons Profit &amp; Loss'!B42</f>
        <v>2321086.0109999999</v>
      </c>
      <c r="D60" s="241">
        <f>'6.Cons Profit &amp; Loss'!C42</f>
        <v>1905225.412339</v>
      </c>
      <c r="E60" s="241">
        <f>'6.Cons Profit &amp; Loss'!D42</f>
        <v>1576812.7276190149</v>
      </c>
      <c r="F60" s="241">
        <f>'6.Cons Profit &amp; Loss'!E42</f>
        <v>1314933.8647945458</v>
      </c>
      <c r="G60" s="241">
        <f>'6.Cons Profit &amp; Loss'!F42</f>
        <v>1104170.4406287007</v>
      </c>
      <c r="H60" s="241">
        <f>'6.Cons Profit &amp; Loss'!G42</f>
        <v>933059.36382816546</v>
      </c>
      <c r="I60" s="241">
        <f>'6.Cons Profit &amp; Loss'!H42</f>
        <v>793002.753828204</v>
      </c>
    </row>
    <row r="61" spans="2:10">
      <c r="B61" s="90" t="s">
        <v>48</v>
      </c>
      <c r="C61" s="241">
        <f>'6.Cons Profit &amp; Loss'!B43</f>
        <v>62486</v>
      </c>
      <c r="D61" s="241">
        <f>'6.Cons Profit &amp; Loss'!C43</f>
        <v>62486</v>
      </c>
      <c r="E61" s="241">
        <f>'6.Cons Profit &amp; Loss'!D43</f>
        <v>62486</v>
      </c>
      <c r="F61" s="241">
        <f>'6.Cons Profit &amp; Loss'!E43</f>
        <v>62486</v>
      </c>
      <c r="G61" s="241">
        <f>'6.Cons Profit &amp; Loss'!F43</f>
        <v>62486</v>
      </c>
      <c r="H61" s="241">
        <f>'6.Cons Profit &amp; Loss'!G43</f>
        <v>0</v>
      </c>
      <c r="I61" s="241">
        <f>'6.Cons Profit &amp; Loss'!H43</f>
        <v>0</v>
      </c>
    </row>
    <row r="62" spans="2:10">
      <c r="B62" s="76"/>
      <c r="C62" s="241"/>
      <c r="D62" s="241"/>
      <c r="E62" s="241"/>
      <c r="F62" s="241"/>
      <c r="G62" s="241"/>
      <c r="H62" s="241"/>
      <c r="I62" s="241"/>
    </row>
    <row r="63" spans="2:10">
      <c r="B63" s="76" t="s">
        <v>32</v>
      </c>
      <c r="C63" s="241">
        <f>SUM(C58:C61)</f>
        <v>1790031.5267160907</v>
      </c>
      <c r="D63" s="241">
        <f t="shared" ref="D63:I63" si="7">SUM(D58:D61)</f>
        <v>2586614.1150106648</v>
      </c>
      <c r="E63" s="241">
        <f t="shared" si="7"/>
        <v>3166435.8540609963</v>
      </c>
      <c r="F63" s="241">
        <f t="shared" si="7"/>
        <v>3843146.8612192292</v>
      </c>
      <c r="G63" s="241">
        <f t="shared" si="7"/>
        <v>4614892.304157801</v>
      </c>
      <c r="H63" s="241">
        <f t="shared" si="7"/>
        <v>5420261.9798194654</v>
      </c>
      <c r="I63" s="241">
        <f t="shared" si="7"/>
        <v>6306333.7079600347</v>
      </c>
    </row>
    <row r="64" spans="2:10">
      <c r="B64" s="76"/>
      <c r="C64" s="76"/>
      <c r="D64" s="76"/>
      <c r="E64" s="76"/>
      <c r="F64" s="76"/>
      <c r="G64" s="76"/>
      <c r="H64" s="76"/>
      <c r="I64" s="76"/>
    </row>
    <row r="65" spans="2:10" ht="16.5">
      <c r="B65" s="9" t="s">
        <v>43</v>
      </c>
      <c r="C65" s="91">
        <f>1/1.1</f>
        <v>0.90909090909090906</v>
      </c>
      <c r="D65" s="91">
        <f t="shared" ref="D65:I65" si="8">C65/1.1</f>
        <v>0.82644628099173545</v>
      </c>
      <c r="E65" s="91">
        <f t="shared" si="8"/>
        <v>0.75131480090157765</v>
      </c>
      <c r="F65" s="91">
        <f t="shared" si="8"/>
        <v>0.68301345536507052</v>
      </c>
      <c r="G65" s="91">
        <f t="shared" si="8"/>
        <v>0.62092132305915493</v>
      </c>
      <c r="H65" s="91">
        <f t="shared" si="8"/>
        <v>0.56447393005377711</v>
      </c>
      <c r="I65" s="91">
        <f t="shared" si="8"/>
        <v>0.51315811823070645</v>
      </c>
    </row>
    <row r="66" spans="2:10">
      <c r="B66" s="76"/>
      <c r="C66" s="76"/>
      <c r="D66" s="76"/>
      <c r="E66" s="76"/>
      <c r="F66" s="76"/>
      <c r="G66" s="76"/>
      <c r="H66" s="76"/>
      <c r="I66" s="76"/>
    </row>
    <row r="67" spans="2:10" ht="16.5">
      <c r="B67" s="9" t="s">
        <v>44</v>
      </c>
      <c r="C67" s="77">
        <f>C63*C65</f>
        <v>1627301.3879237189</v>
      </c>
      <c r="D67" s="77">
        <f t="shared" ref="D67:I67" si="9">D63*D65</f>
        <v>2137697.6157112932</v>
      </c>
      <c r="E67" s="77">
        <f t="shared" si="9"/>
        <v>2378990.1232614545</v>
      </c>
      <c r="F67" s="77">
        <f t="shared" si="9"/>
        <v>2624921.0171567709</v>
      </c>
      <c r="G67" s="77">
        <f t="shared" si="9"/>
        <v>2865485.0352731738</v>
      </c>
      <c r="H67" s="77">
        <f t="shared" si="9"/>
        <v>3059596.5816697604</v>
      </c>
      <c r="I67" s="77">
        <f t="shared" si="9"/>
        <v>3236146.3385116449</v>
      </c>
    </row>
    <row r="68" spans="2:10">
      <c r="B68" s="75"/>
      <c r="C68" s="93"/>
      <c r="D68" s="93"/>
      <c r="E68" s="93"/>
      <c r="F68" s="93"/>
      <c r="G68" s="93"/>
      <c r="H68" s="93"/>
      <c r="I68" s="93"/>
    </row>
    <row r="69" spans="2:10" ht="16.5">
      <c r="B69" s="10" t="s">
        <v>45</v>
      </c>
      <c r="C69" s="93">
        <f>SUM(C67:I67)</f>
        <v>17930138.099507816</v>
      </c>
      <c r="D69" s="93"/>
      <c r="E69" s="93"/>
      <c r="F69" s="93"/>
      <c r="G69" s="93"/>
      <c r="H69" s="93"/>
      <c r="I69" s="93"/>
    </row>
    <row r="70" spans="2:10">
      <c r="B70" s="75"/>
      <c r="C70" s="93"/>
      <c r="D70" s="93"/>
      <c r="E70" s="93"/>
      <c r="F70" s="93"/>
      <c r="G70" s="93"/>
      <c r="H70" s="93"/>
      <c r="I70" s="93"/>
    </row>
    <row r="71" spans="2:10" ht="16.5">
      <c r="B71" s="10" t="s">
        <v>46</v>
      </c>
      <c r="C71" s="93">
        <f>'1.Project Cost and MOF'!D12-'1.Project Cost and MOF'!D11</f>
        <v>15726539</v>
      </c>
      <c r="D71" s="93"/>
      <c r="E71" s="93"/>
      <c r="F71" s="93"/>
      <c r="G71" s="93"/>
      <c r="H71" s="93"/>
      <c r="I71" s="93"/>
    </row>
    <row r="72" spans="2:10">
      <c r="B72" s="75"/>
      <c r="C72" s="92"/>
      <c r="D72" s="75"/>
      <c r="E72" s="75"/>
      <c r="F72" s="75"/>
      <c r="G72" s="75"/>
      <c r="H72" s="75"/>
      <c r="I72" s="75"/>
    </row>
    <row r="73" spans="2:10" ht="16.5">
      <c r="B73" s="10" t="s">
        <v>47</v>
      </c>
      <c r="C73" s="92">
        <f>C69-C71</f>
        <v>2203599.0995078161</v>
      </c>
      <c r="D73" s="75"/>
      <c r="E73" s="75"/>
      <c r="F73" s="75"/>
      <c r="G73" s="75"/>
      <c r="H73" s="75"/>
      <c r="I73" s="75"/>
    </row>
    <row r="75" spans="2:10" ht="35.1" customHeight="1">
      <c r="B75" s="581" t="s">
        <v>405</v>
      </c>
      <c r="C75" s="581"/>
      <c r="D75" s="581"/>
      <c r="E75" s="581"/>
      <c r="F75" s="581"/>
      <c r="G75" s="581"/>
      <c r="H75" s="581"/>
      <c r="I75" s="581"/>
      <c r="J75" s="581"/>
    </row>
    <row r="76" spans="2:10" ht="18.75">
      <c r="B76" s="562" t="s">
        <v>546</v>
      </c>
      <c r="C76" s="562"/>
      <c r="D76" s="562"/>
      <c r="E76" s="562"/>
      <c r="F76" s="562"/>
      <c r="G76" s="562"/>
      <c r="H76" s="562"/>
      <c r="I76" s="562"/>
    </row>
    <row r="77" spans="2:10">
      <c r="B77" s="75"/>
      <c r="C77" s="75"/>
      <c r="D77" s="75"/>
      <c r="E77" s="75"/>
      <c r="F77" s="75"/>
      <c r="G77" s="75"/>
      <c r="H77" s="75"/>
      <c r="I77" s="75"/>
    </row>
    <row r="78" spans="2:10" ht="15.75">
      <c r="B78" s="57" t="s">
        <v>0</v>
      </c>
      <c r="C78" s="57" t="s">
        <v>2</v>
      </c>
      <c r="D78" s="57" t="s">
        <v>3</v>
      </c>
      <c r="E78" s="57" t="s">
        <v>4</v>
      </c>
      <c r="F78" s="57" t="s">
        <v>5</v>
      </c>
      <c r="G78" s="57" t="s">
        <v>6</v>
      </c>
      <c r="H78" s="57" t="s">
        <v>166</v>
      </c>
      <c r="I78" s="57" t="s">
        <v>165</v>
      </c>
    </row>
    <row r="79" spans="2:10" ht="15.75">
      <c r="B79" s="54"/>
      <c r="C79" s="55"/>
      <c r="D79" s="55"/>
      <c r="E79" s="55"/>
      <c r="F79" s="55"/>
      <c r="G79" s="55"/>
      <c r="H79" s="55"/>
      <c r="I79" s="55"/>
    </row>
    <row r="80" spans="2:10">
      <c r="B80" s="78" t="s">
        <v>27</v>
      </c>
      <c r="C80" s="77">
        <f>'6.Cons Profit &amp; Loss'!B51</f>
        <v>-791387.31237854576</v>
      </c>
      <c r="D80" s="77">
        <f>'6.Cons Profit &amp; Loss'!C51</f>
        <v>825203.60356222</v>
      </c>
      <c r="E80" s="77">
        <f>'6.Cons Profit &amp; Loss'!D51</f>
        <v>2036182.8352559751</v>
      </c>
      <c r="F80" s="77">
        <f>'6.Cons Profit &amp; Loss'!E51</f>
        <v>3287635.9952329108</v>
      </c>
      <c r="G80" s="77">
        <f>'6.Cons Profit &amp; Loss'!F51</f>
        <v>4597647.8180388007</v>
      </c>
      <c r="H80" s="77">
        <f>'6.Cons Profit &amp; Loss'!G51</f>
        <v>5982936.8213217333</v>
      </c>
      <c r="I80" s="77">
        <f>'6.Cons Profit &amp; Loss'!H51</f>
        <v>7351107.938842441</v>
      </c>
    </row>
    <row r="81" spans="2:10">
      <c r="B81" s="76"/>
      <c r="C81" s="76"/>
      <c r="D81" s="76"/>
      <c r="E81" s="76"/>
      <c r="F81" s="76"/>
      <c r="G81" s="76"/>
      <c r="H81" s="76"/>
      <c r="I81" s="76"/>
    </row>
    <row r="82" spans="2:10">
      <c r="B82" s="78" t="s">
        <v>124</v>
      </c>
      <c r="C82" s="599">
        <f>AVERAGE(C80:I80)</f>
        <v>3327046.8142679338</v>
      </c>
      <c r="D82" s="599"/>
      <c r="E82" s="599"/>
      <c r="F82" s="599"/>
      <c r="G82" s="599"/>
      <c r="H82" s="599"/>
      <c r="I82" s="599"/>
    </row>
    <row r="83" spans="2:10">
      <c r="B83" s="78" t="s">
        <v>125</v>
      </c>
      <c r="C83" s="599">
        <f>'1.Project Cost and MOF'!D12-'1.Project Cost and MOF'!D11</f>
        <v>15726539</v>
      </c>
      <c r="D83" s="599"/>
      <c r="E83" s="599"/>
      <c r="F83" s="599"/>
      <c r="G83" s="599"/>
      <c r="H83" s="599"/>
      <c r="I83" s="599"/>
    </row>
    <row r="84" spans="2:10">
      <c r="B84" s="76"/>
      <c r="C84" s="76"/>
      <c r="D84" s="76"/>
      <c r="E84" s="76"/>
      <c r="F84" s="76"/>
      <c r="G84" s="76"/>
      <c r="H84" s="76"/>
      <c r="I84" s="76"/>
    </row>
    <row r="85" spans="2:10">
      <c r="B85" s="210" t="s">
        <v>126</v>
      </c>
      <c r="C85" s="600">
        <f>C82/C83</f>
        <v>0.21155619900016995</v>
      </c>
      <c r="D85" s="600"/>
      <c r="E85" s="600"/>
      <c r="F85" s="600"/>
      <c r="G85" s="600"/>
      <c r="H85" s="600"/>
      <c r="I85" s="600"/>
    </row>
    <row r="88" spans="2:10">
      <c r="B88" s="598" t="s">
        <v>406</v>
      </c>
      <c r="C88" s="598"/>
      <c r="D88" s="598"/>
      <c r="E88" s="598"/>
      <c r="F88" s="598"/>
      <c r="G88" s="598"/>
      <c r="H88" s="598"/>
      <c r="I88" s="598"/>
    </row>
    <row r="90" spans="2:10" ht="18.75">
      <c r="B90" s="562" t="s">
        <v>547</v>
      </c>
      <c r="C90" s="562"/>
      <c r="D90" s="562"/>
      <c r="E90" s="562"/>
      <c r="F90" s="562"/>
      <c r="G90" s="562"/>
      <c r="H90" s="562"/>
      <c r="I90" s="562"/>
      <c r="J90" s="562"/>
    </row>
    <row r="92" spans="2:10">
      <c r="B92" s="85" t="s">
        <v>0</v>
      </c>
      <c r="C92" s="85" t="s">
        <v>324</v>
      </c>
      <c r="D92" s="85" t="s">
        <v>2</v>
      </c>
      <c r="E92" s="85" t="s">
        <v>3</v>
      </c>
      <c r="F92" s="85" t="s">
        <v>4</v>
      </c>
      <c r="G92" s="85" t="s">
        <v>5</v>
      </c>
      <c r="H92" s="85" t="s">
        <v>6</v>
      </c>
      <c r="I92" s="85" t="s">
        <v>166</v>
      </c>
      <c r="J92" s="85" t="s">
        <v>165</v>
      </c>
    </row>
    <row r="93" spans="2:10">
      <c r="B93" s="86"/>
      <c r="C93" s="86"/>
      <c r="D93" s="87"/>
      <c r="E93" s="87"/>
      <c r="F93" s="87"/>
      <c r="G93" s="87"/>
      <c r="H93" s="87"/>
      <c r="I93" s="87"/>
      <c r="J93" s="87"/>
    </row>
    <row r="94" spans="2:10">
      <c r="B94" s="14" t="s">
        <v>274</v>
      </c>
      <c r="C94" s="88">
        <f>'1.Project Cost and MOF'!D12-'1.Project Cost and MOF'!D11</f>
        <v>15726539</v>
      </c>
      <c r="D94" s="87"/>
      <c r="E94" s="87"/>
      <c r="F94" s="87"/>
      <c r="G94" s="87"/>
      <c r="H94" s="87"/>
      <c r="I94" s="87"/>
      <c r="J94" s="87"/>
    </row>
    <row r="95" spans="2:10">
      <c r="B95" s="15" t="str">
        <f>B58</f>
        <v>Profit after Tax &amp; Dividend</v>
      </c>
      <c r="C95" s="15"/>
      <c r="D95" s="16">
        <f>'6.Cons Profit &amp; Loss'!B54</f>
        <v>-593540.48428390932</v>
      </c>
      <c r="E95" s="16">
        <f>'6.Cons Profit &amp; Loss'!C54</f>
        <v>618902.702671665</v>
      </c>
      <c r="F95" s="16">
        <f>'6.Cons Profit &amp; Loss'!D54</f>
        <v>1527137.1264419814</v>
      </c>
      <c r="G95" s="16">
        <f>'6.Cons Profit &amp; Loss'!E54</f>
        <v>2465726.9964246834</v>
      </c>
      <c r="H95" s="16">
        <f>'6.Cons Profit &amp; Loss'!F54</f>
        <v>3448235.8635291005</v>
      </c>
      <c r="I95" s="16">
        <f>'6.Cons Profit &amp; Loss'!G54</f>
        <v>4487202.6159913</v>
      </c>
      <c r="J95" s="16">
        <f>'6.Cons Profit &amp; Loss'!H54</f>
        <v>5513330.9541318305</v>
      </c>
    </row>
    <row r="96" spans="2:10">
      <c r="B96" s="15" t="str">
        <f>B60</f>
        <v>Add: Deprication</v>
      </c>
      <c r="C96" s="15"/>
      <c r="D96" s="74">
        <f>'6.Cons Profit &amp; Loss'!B42</f>
        <v>2321086.0109999999</v>
      </c>
      <c r="E96" s="74">
        <f>'6.Cons Profit &amp; Loss'!C42</f>
        <v>1905225.412339</v>
      </c>
      <c r="F96" s="74">
        <f>'6.Cons Profit &amp; Loss'!D42</f>
        <v>1576812.7276190149</v>
      </c>
      <c r="G96" s="74">
        <f>'6.Cons Profit &amp; Loss'!E42</f>
        <v>1314933.8647945458</v>
      </c>
      <c r="H96" s="74">
        <f>'6.Cons Profit &amp; Loss'!F42</f>
        <v>1104170.4406287007</v>
      </c>
      <c r="I96" s="74">
        <f>'6.Cons Profit &amp; Loss'!G42</f>
        <v>933059.36382816546</v>
      </c>
      <c r="J96" s="74">
        <f>'6.Cons Profit &amp; Loss'!H42</f>
        <v>793002.753828204</v>
      </c>
    </row>
    <row r="97" spans="2:10">
      <c r="B97" s="15" t="str">
        <f>B61</f>
        <v>Add. Preliminary exp Written off</v>
      </c>
      <c r="C97" s="15"/>
      <c r="D97" s="74">
        <f>'6.Cons Profit &amp; Loss'!B43</f>
        <v>62486</v>
      </c>
      <c r="E97" s="74">
        <f>'6.Cons Profit &amp; Loss'!C43</f>
        <v>62486</v>
      </c>
      <c r="F97" s="74">
        <f>'6.Cons Profit &amp; Loss'!D43</f>
        <v>62486</v>
      </c>
      <c r="G97" s="74">
        <f>'6.Cons Profit &amp; Loss'!E43</f>
        <v>62486</v>
      </c>
      <c r="H97" s="74">
        <f>'6.Cons Profit &amp; Loss'!F43</f>
        <v>62486</v>
      </c>
      <c r="I97" s="74">
        <f>'6.Cons Profit &amp; Loss'!G43</f>
        <v>0</v>
      </c>
      <c r="J97" s="74">
        <f>'6.Cons Profit &amp; Loss'!H43</f>
        <v>0</v>
      </c>
    </row>
    <row r="98" spans="2:10">
      <c r="B98" s="15" t="str">
        <f>B63</f>
        <v xml:space="preserve">Net Cash Accrual (A)      </v>
      </c>
      <c r="C98" s="15"/>
      <c r="D98" s="209">
        <f>SUM(D95:D97)</f>
        <v>1790031.5267160907</v>
      </c>
      <c r="E98" s="209">
        <f t="shared" ref="E98:J98" si="10">SUM(E95:E97)</f>
        <v>2586614.1150106648</v>
      </c>
      <c r="F98" s="209">
        <f t="shared" si="10"/>
        <v>3166435.8540609963</v>
      </c>
      <c r="G98" s="209">
        <f t="shared" si="10"/>
        <v>3843146.8612192292</v>
      </c>
      <c r="H98" s="209">
        <f t="shared" si="10"/>
        <v>4614892.304157801</v>
      </c>
      <c r="I98" s="209">
        <f t="shared" si="10"/>
        <v>5420261.9798194654</v>
      </c>
      <c r="J98" s="209">
        <f t="shared" si="10"/>
        <v>6306333.7079600347</v>
      </c>
    </row>
    <row r="99" spans="2:10">
      <c r="B99" s="14" t="s">
        <v>275</v>
      </c>
      <c r="C99" s="89"/>
      <c r="D99" s="56">
        <f>D98-C94</f>
        <v>-13936507.473283909</v>
      </c>
      <c r="E99" s="56">
        <f>D99+E98</f>
        <v>-11349893.358273245</v>
      </c>
      <c r="F99" s="56">
        <f>E99+F98</f>
        <v>-8183457.5042122491</v>
      </c>
      <c r="G99" s="56">
        <f>F99+G98</f>
        <v>-4340310.6429930199</v>
      </c>
      <c r="H99" s="56">
        <f>G99+H98</f>
        <v>274581.66116478108</v>
      </c>
      <c r="I99" s="56">
        <f t="shared" ref="I99:J99" si="11">H99+I98</f>
        <v>5694843.6409842465</v>
      </c>
      <c r="J99" s="56">
        <f t="shared" si="11"/>
        <v>12001177.34894428</v>
      </c>
    </row>
    <row r="100" spans="2:10">
      <c r="B100" s="5"/>
      <c r="C100" s="5"/>
      <c r="D100" s="5"/>
      <c r="E100" s="5"/>
      <c r="F100" s="5"/>
      <c r="G100" s="5"/>
      <c r="H100" s="5"/>
      <c r="I100" s="5"/>
      <c r="J100" s="5"/>
    </row>
    <row r="101" spans="2:10">
      <c r="B101" s="17" t="s">
        <v>276</v>
      </c>
      <c r="C101" s="5"/>
      <c r="D101" s="49">
        <f>4+(-G99/H98)</f>
        <v>4.9405009601378138</v>
      </c>
      <c r="E101" s="5"/>
      <c r="F101" s="5"/>
      <c r="G101" s="5"/>
      <c r="H101" s="5"/>
      <c r="I101" s="5"/>
      <c r="J101" s="5"/>
    </row>
    <row r="102" spans="2:10">
      <c r="B102" s="5"/>
      <c r="C102" s="5"/>
      <c r="D102" s="5"/>
      <c r="E102" s="5"/>
      <c r="F102" s="5"/>
      <c r="G102" s="5"/>
      <c r="H102" s="5"/>
      <c r="I102" s="5"/>
      <c r="J102" s="5"/>
    </row>
    <row r="103" spans="2:10">
      <c r="B103" s="598" t="s">
        <v>407</v>
      </c>
      <c r="C103" s="598"/>
      <c r="D103" s="598"/>
      <c r="E103" s="598"/>
      <c r="F103" s="598"/>
      <c r="G103" s="598"/>
      <c r="H103" s="598"/>
      <c r="I103" s="598"/>
      <c r="J103" s="598"/>
    </row>
    <row r="105" spans="2:10" ht="18.75">
      <c r="B105" s="562" t="s">
        <v>548</v>
      </c>
      <c r="C105" s="562"/>
      <c r="D105" s="562"/>
      <c r="E105" s="562"/>
      <c r="F105" s="562"/>
      <c r="G105" s="562"/>
      <c r="H105" s="562"/>
      <c r="I105" s="562"/>
    </row>
    <row r="107" spans="2:10" ht="15.75">
      <c r="B107" s="57" t="s">
        <v>0</v>
      </c>
      <c r="C107" s="57" t="s">
        <v>2</v>
      </c>
      <c r="D107" s="57" t="s">
        <v>3</v>
      </c>
      <c r="E107" s="57" t="s">
        <v>4</v>
      </c>
      <c r="F107" s="57" t="s">
        <v>5</v>
      </c>
      <c r="G107" s="57" t="s">
        <v>6</v>
      </c>
      <c r="H107" s="57" t="s">
        <v>166</v>
      </c>
      <c r="I107" s="57" t="s">
        <v>165</v>
      </c>
    </row>
    <row r="108" spans="2:10" ht="15.75">
      <c r="B108" s="54"/>
      <c r="C108" s="55"/>
      <c r="D108" s="55"/>
      <c r="E108" s="55"/>
      <c r="F108" s="55"/>
      <c r="G108" s="55"/>
      <c r="H108" s="55"/>
      <c r="I108" s="55"/>
    </row>
    <row r="109" spans="2:10">
      <c r="B109" s="76" t="s">
        <v>327</v>
      </c>
      <c r="C109" s="77">
        <f>'6.Cons Profit &amp; Loss'!B40</f>
        <v>2064583.0561557636</v>
      </c>
      <c r="D109" s="77">
        <f>'6.Cons Profit &amp; Loss'!C40</f>
        <v>3476774.5763762444</v>
      </c>
      <c r="E109" s="77">
        <f>'6.Cons Profit &amp; Loss'!D40</f>
        <v>4685505.4107872397</v>
      </c>
      <c r="F109" s="77">
        <f>'6.Cons Profit &amp; Loss'!E40</f>
        <v>6006417.3921984434</v>
      </c>
      <c r="G109" s="77">
        <f>'6.Cons Profit &amp; Loss'!F40</f>
        <v>7447706.8082237393</v>
      </c>
      <c r="H109" s="77">
        <f>'6.Cons Profit &amp; Loss'!G40</f>
        <v>9018109.1223710477</v>
      </c>
      <c r="I109" s="77">
        <f>'6.Cons Profit &amp; Loss'!H40</f>
        <v>10726932.400912583</v>
      </c>
    </row>
    <row r="110" spans="2:10">
      <c r="B110" s="78" t="s">
        <v>1</v>
      </c>
      <c r="C110" s="79">
        <f t="shared" ref="C110:I110" si="12">SUM(C109:C109)</f>
        <v>2064583.0561557636</v>
      </c>
      <c r="D110" s="79">
        <f t="shared" si="12"/>
        <v>3476774.5763762444</v>
      </c>
      <c r="E110" s="79">
        <f t="shared" si="12"/>
        <v>4685505.4107872397</v>
      </c>
      <c r="F110" s="79">
        <f t="shared" si="12"/>
        <v>6006417.3921984434</v>
      </c>
      <c r="G110" s="79">
        <f t="shared" si="12"/>
        <v>7447706.8082237393</v>
      </c>
      <c r="H110" s="79">
        <f t="shared" si="12"/>
        <v>9018109.1223710477</v>
      </c>
      <c r="I110" s="79">
        <f t="shared" si="12"/>
        <v>10726932.400912583</v>
      </c>
    </row>
    <row r="111" spans="2:10">
      <c r="B111" s="76"/>
      <c r="C111" s="76"/>
      <c r="D111" s="76"/>
      <c r="E111" s="76"/>
      <c r="F111" s="76"/>
      <c r="G111" s="76"/>
      <c r="H111" s="76"/>
      <c r="I111" s="76"/>
    </row>
    <row r="112" spans="2:10">
      <c r="B112" s="80" t="s">
        <v>277</v>
      </c>
      <c r="C112" s="81">
        <f>'8.Cash Flow '!C26+'8.Cash Flow '!C27</f>
        <v>982886.48994996154</v>
      </c>
      <c r="D112" s="81">
        <f>'8.Cash Flow '!D26+'8.Cash Flow '!D27</f>
        <v>1484147.7230249229</v>
      </c>
      <c r="E112" s="81">
        <f>'8.Cash Flow '!E26+'8.Cash Flow '!E27</f>
        <v>1484147.7230249229</v>
      </c>
      <c r="F112" s="81">
        <f>'8.Cash Flow '!F26+'8.Cash Flow '!F27</f>
        <v>1484147.7230249227</v>
      </c>
      <c r="G112" s="81">
        <f>'8.Cash Flow '!G26+'8.Cash Flow '!G27</f>
        <v>1484147.7230249229</v>
      </c>
      <c r="H112" s="81">
        <f>'8.Cash Flow '!H26+'8.Cash Flow '!H27</f>
        <v>0</v>
      </c>
      <c r="I112" s="81">
        <f>'8.Cash Flow '!I26+'8.Cash Flow '!I27</f>
        <v>0</v>
      </c>
    </row>
    <row r="113" spans="2:18">
      <c r="B113" s="76"/>
      <c r="C113" s="76"/>
      <c r="D113" s="76"/>
      <c r="E113" s="76"/>
      <c r="F113" s="76"/>
      <c r="G113" s="76"/>
      <c r="H113" s="76"/>
      <c r="I113" s="76"/>
    </row>
    <row r="114" spans="2:18">
      <c r="B114" s="82" t="s">
        <v>325</v>
      </c>
      <c r="C114" s="83">
        <f>C110/C112</f>
        <v>2.1005305060820105</v>
      </c>
      <c r="D114" s="83">
        <f t="shared" ref="D114:G114" si="13">D110/D112</f>
        <v>2.3426068190099296</v>
      </c>
      <c r="E114" s="83">
        <f t="shared" si="13"/>
        <v>3.1570343963048733</v>
      </c>
      <c r="F114" s="83">
        <f t="shared" si="13"/>
        <v>4.0470482142818209</v>
      </c>
      <c r="G114" s="83">
        <f t="shared" si="13"/>
        <v>5.0181708280656592</v>
      </c>
      <c r="H114" s="83">
        <v>0</v>
      </c>
      <c r="I114" s="83">
        <v>0</v>
      </c>
    </row>
    <row r="115" spans="2:18">
      <c r="B115" s="75"/>
      <c r="C115" s="75"/>
      <c r="D115" s="75"/>
      <c r="E115" s="75"/>
      <c r="F115" s="75"/>
      <c r="G115" s="75"/>
      <c r="H115" s="75"/>
      <c r="I115" s="75"/>
    </row>
    <row r="116" spans="2:18">
      <c r="B116" s="75" t="s">
        <v>326</v>
      </c>
      <c r="C116" s="84">
        <f>AVERAGE(C114:I114)</f>
        <v>2.380770109106328</v>
      </c>
      <c r="D116" s="75"/>
      <c r="E116" s="75"/>
      <c r="F116" s="75"/>
      <c r="G116" s="75"/>
      <c r="H116" s="75"/>
      <c r="I116" s="75"/>
    </row>
    <row r="118" spans="2:18" ht="29.45" customHeight="1">
      <c r="B118" s="581" t="s">
        <v>408</v>
      </c>
      <c r="C118" s="581"/>
      <c r="D118" s="581"/>
      <c r="E118" s="581"/>
      <c r="F118" s="581"/>
      <c r="G118" s="581"/>
      <c r="H118" s="581"/>
      <c r="I118" s="581"/>
      <c r="J118" s="581"/>
    </row>
    <row r="120" spans="2:18" ht="21">
      <c r="B120" s="593" t="s">
        <v>549</v>
      </c>
      <c r="C120" s="594"/>
      <c r="D120" s="594"/>
      <c r="E120" s="594"/>
      <c r="F120" s="594"/>
      <c r="G120" s="594"/>
      <c r="H120" s="594"/>
      <c r="I120" s="594"/>
      <c r="K120" s="595"/>
      <c r="L120" s="595"/>
      <c r="M120" s="595"/>
      <c r="N120" s="595"/>
      <c r="O120" s="595"/>
      <c r="P120" s="595"/>
      <c r="Q120" s="595"/>
      <c r="R120" s="595"/>
    </row>
    <row r="121" spans="2:18">
      <c r="B121" s="65" t="s">
        <v>337</v>
      </c>
      <c r="C121" s="66" t="s">
        <v>2</v>
      </c>
      <c r="D121" s="66" t="s">
        <v>3</v>
      </c>
      <c r="E121" s="66" t="s">
        <v>4</v>
      </c>
      <c r="F121" s="66" t="s">
        <v>5</v>
      </c>
      <c r="G121" s="66" t="s">
        <v>6</v>
      </c>
      <c r="H121" s="66" t="s">
        <v>166</v>
      </c>
      <c r="I121" s="66" t="s">
        <v>165</v>
      </c>
    </row>
    <row r="122" spans="2:18">
      <c r="B122" s="59" t="str">
        <f>'6.Cons Profit &amp; Loss'!A8</f>
        <v>Faclitiy 1 - Cleaning &amp; Grading</v>
      </c>
      <c r="C122" s="238">
        <f>'6.Cons Profit &amp; Loss'!B8*(1+$M$123)</f>
        <v>58704252.495131232</v>
      </c>
      <c r="D122" s="238">
        <f>'6.Cons Profit &amp; Loss'!C8*(1+$M$123)</f>
        <v>68127829.869349688</v>
      </c>
      <c r="E122" s="238">
        <f>'6.Cons Profit &amp; Loss'!D8*(1+$M$123)</f>
        <v>75119896.619098738</v>
      </c>
      <c r="F122" s="238">
        <f>'6.Cons Profit &amp; Loss'!E8*(1+$M$123)</f>
        <v>82640850.469149321</v>
      </c>
      <c r="G122" s="238">
        <f>'6.Cons Profit &amp; Loss'!F8*(1+$M$123)</f>
        <v>90726099.962657228</v>
      </c>
      <c r="H122" s="238">
        <f>'6.Cons Profit &amp; Loss'!G8*(1+$M$123)</f>
        <v>99413272.279343024</v>
      </c>
      <c r="I122" s="238">
        <f>'6.Cons Profit &amp; Loss'!H8*(1+$M$123)</f>
        <v>108742346.57779078</v>
      </c>
    </row>
    <row r="123" spans="2:18">
      <c r="B123" s="59" t="str">
        <f>'6.Cons Profit &amp; Loss'!A9</f>
        <v>Faclitiy 2 - Processing Unit- Feed Mill</v>
      </c>
      <c r="C123" s="238">
        <f>'6.Cons Profit &amp; Loss'!B9*(1+$M$123)</f>
        <v>6048922.2836538469</v>
      </c>
      <c r="D123" s="238">
        <f>'6.Cons Profit &amp; Loss'!C9*(1+$M$123)</f>
        <v>12797444.349069458</v>
      </c>
      <c r="E123" s="238">
        <f>'6.Cons Profit &amp; Loss'!D9*(1+$M$123)</f>
        <v>20205696.315317504</v>
      </c>
      <c r="F123" s="238">
        <f>'6.Cons Profit &amp; Loss'!E9*(1+$M$123)</f>
        <v>28322779.867317673</v>
      </c>
      <c r="G123" s="238">
        <f>'6.Cons Profit &amp; Loss'!F9*(1+$M$123)</f>
        <v>37201057.533729568</v>
      </c>
      <c r="H123" s="238">
        <f>'6.Cons Profit &amp; Loss'!G9*(1+$M$123)</f>
        <v>46896356.017114356</v>
      </c>
      <c r="I123" s="238">
        <f>'6.Cons Profit &amp; Loss'!H9*(1+$M$123)</f>
        <v>57468181.705003299</v>
      </c>
      <c r="L123" s="3" t="s">
        <v>356</v>
      </c>
      <c r="M123" s="218">
        <v>0.05</v>
      </c>
    </row>
    <row r="124" spans="2:18">
      <c r="B124" s="59" t="str">
        <f>'6.Cons Profit &amp; Loss'!A10</f>
        <v>Faclitiy 3 - Warehouse</v>
      </c>
      <c r="C124" s="238">
        <f>'6.Cons Profit &amp; Loss'!B10*(1+$M$123)</f>
        <v>0</v>
      </c>
      <c r="D124" s="238">
        <f>'6.Cons Profit &amp; Loss'!C10*(1+$M$123)</f>
        <v>0</v>
      </c>
      <c r="E124" s="238">
        <f>'6.Cons Profit &amp; Loss'!D10*(1+$M$123)</f>
        <v>0</v>
      </c>
      <c r="F124" s="238">
        <f>'6.Cons Profit &amp; Loss'!E10*(1+$M$123)</f>
        <v>0</v>
      </c>
      <c r="G124" s="238">
        <f>'6.Cons Profit &amp; Loss'!F10*(1+$M$123)</f>
        <v>0</v>
      </c>
      <c r="H124" s="238">
        <f>'6.Cons Profit &amp; Loss'!G10*(1+$M$123)</f>
        <v>0</v>
      </c>
      <c r="I124" s="238">
        <f>'6.Cons Profit &amp; Loss'!H10*(1+$M$123)</f>
        <v>0</v>
      </c>
      <c r="L124" s="3" t="s">
        <v>357</v>
      </c>
      <c r="M124" s="218">
        <v>0.05</v>
      </c>
    </row>
    <row r="125" spans="2:18">
      <c r="B125" s="59" t="str">
        <f>'6.Cons Profit &amp; Loss'!A11</f>
        <v xml:space="preserve">Faclitiy 4 - Custom Hiring </v>
      </c>
      <c r="C125" s="238">
        <f>'6.Cons Profit &amp; Loss'!B11*(1+$M$123)</f>
        <v>0</v>
      </c>
      <c r="D125" s="238">
        <f>'6.Cons Profit &amp; Loss'!C11*(1+$M$123)</f>
        <v>0</v>
      </c>
      <c r="E125" s="238">
        <f>'6.Cons Profit &amp; Loss'!D11*(1+$M$123)</f>
        <v>0</v>
      </c>
      <c r="F125" s="238">
        <f>'6.Cons Profit &amp; Loss'!E11*(1+$M$123)</f>
        <v>0</v>
      </c>
      <c r="G125" s="238">
        <f>'6.Cons Profit &amp; Loss'!F11*(1+$M$123)</f>
        <v>0</v>
      </c>
      <c r="H125" s="238">
        <f>'6.Cons Profit &amp; Loss'!G11*(1+$M$123)</f>
        <v>0</v>
      </c>
      <c r="I125" s="238">
        <f>'6.Cons Profit &amp; Loss'!H11*(1+$M$123)</f>
        <v>0</v>
      </c>
    </row>
    <row r="126" spans="2:18">
      <c r="B126" s="59" t="str">
        <f>'6.Cons Profit &amp; Loss'!A12</f>
        <v>Faclitiy 5 - Agri Input Centre</v>
      </c>
      <c r="C126" s="238">
        <f>'6.Cons Profit &amp; Loss'!B12*(1+$M$123)</f>
        <v>0</v>
      </c>
      <c r="D126" s="238">
        <f>'6.Cons Profit &amp; Loss'!C12*(1+$M$123)</f>
        <v>0</v>
      </c>
      <c r="E126" s="238">
        <f>'6.Cons Profit &amp; Loss'!D12*(1+$M$123)</f>
        <v>0</v>
      </c>
      <c r="F126" s="238">
        <f>'6.Cons Profit &amp; Loss'!E12*(1+$M$123)</f>
        <v>0</v>
      </c>
      <c r="G126" s="238">
        <f>'6.Cons Profit &amp; Loss'!F12*(1+$M$123)</f>
        <v>0</v>
      </c>
      <c r="H126" s="238">
        <f>'6.Cons Profit &amp; Loss'!G12*(1+$M$123)</f>
        <v>0</v>
      </c>
      <c r="I126" s="238">
        <f>'6.Cons Profit &amp; Loss'!H12*(1+$M$123)</f>
        <v>0</v>
      </c>
      <c r="K126" s="2"/>
    </row>
    <row r="127" spans="2:18">
      <c r="B127" s="59" t="str">
        <f>'6.Cons Profit &amp; Loss'!A13</f>
        <v>Facility 6 - Processing Unit - Horti Commodity</v>
      </c>
      <c r="C127" s="238">
        <f>'6.Cons Profit &amp; Loss'!B13*(1+$M$123)</f>
        <v>0</v>
      </c>
      <c r="D127" s="238">
        <f>'6.Cons Profit &amp; Loss'!C13*(1+$M$123)</f>
        <v>0</v>
      </c>
      <c r="E127" s="238">
        <f>'6.Cons Profit &amp; Loss'!D13*(1+$M$123)</f>
        <v>0</v>
      </c>
      <c r="F127" s="238">
        <f>'6.Cons Profit &amp; Loss'!E13*(1+$M$123)</f>
        <v>0</v>
      </c>
      <c r="G127" s="238">
        <f>'6.Cons Profit &amp; Loss'!F13*(1+$M$123)</f>
        <v>0</v>
      </c>
      <c r="H127" s="238">
        <f>'6.Cons Profit &amp; Loss'!G13*(1+$M$123)</f>
        <v>0</v>
      </c>
      <c r="I127" s="238">
        <f>'6.Cons Profit &amp; Loss'!H13*(1+$M$123)</f>
        <v>0</v>
      </c>
    </row>
    <row r="128" spans="2:18">
      <c r="B128" s="59">
        <f>'6.Cons Profit &amp; Loss'!A14</f>
        <v>0</v>
      </c>
      <c r="C128" s="238">
        <f>'6.Cons Profit &amp; Loss'!B14*(1+$M$123)</f>
        <v>0</v>
      </c>
      <c r="D128" s="238">
        <f>'6.Cons Profit &amp; Loss'!C14*(1+$M$123)</f>
        <v>0</v>
      </c>
      <c r="E128" s="238">
        <f>'6.Cons Profit &amp; Loss'!D14*(1+$M$123)</f>
        <v>0</v>
      </c>
      <c r="F128" s="238">
        <f>'6.Cons Profit &amp; Loss'!E14*(1+$M$123)</f>
        <v>0</v>
      </c>
      <c r="G128" s="238">
        <f>'6.Cons Profit &amp; Loss'!F14*(1+$M$123)</f>
        <v>0</v>
      </c>
      <c r="H128" s="238">
        <f>'6.Cons Profit &amp; Loss'!G14*(1+$M$123)</f>
        <v>0</v>
      </c>
      <c r="I128" s="238">
        <f>'6.Cons Profit &amp; Loss'!H14*(1+$M$123)</f>
        <v>0</v>
      </c>
    </row>
    <row r="129" spans="2:9">
      <c r="B129" s="59" t="s">
        <v>338</v>
      </c>
      <c r="C129" s="238">
        <f>SUM(C122:C128)</f>
        <v>64753174.77878508</v>
      </c>
      <c r="D129" s="238">
        <f t="shared" ref="D129:I129" si="14">SUM(D122:D128)</f>
        <v>80925274.21841915</v>
      </c>
      <c r="E129" s="238">
        <f t="shared" si="14"/>
        <v>95325592.934416234</v>
      </c>
      <c r="F129" s="238">
        <f t="shared" si="14"/>
        <v>110963630.336467</v>
      </c>
      <c r="G129" s="238">
        <f t="shared" si="14"/>
        <v>127927157.4963868</v>
      </c>
      <c r="H129" s="238">
        <f t="shared" si="14"/>
        <v>146309628.29645738</v>
      </c>
      <c r="I129" s="238">
        <f t="shared" si="14"/>
        <v>166210528.28279409</v>
      </c>
    </row>
    <row r="130" spans="2:9">
      <c r="B130" s="59" t="s">
        <v>339</v>
      </c>
      <c r="C130" s="238"/>
      <c r="D130" s="238"/>
      <c r="E130" s="238"/>
      <c r="F130" s="238"/>
      <c r="G130" s="238"/>
      <c r="H130" s="238"/>
      <c r="I130" s="238"/>
    </row>
    <row r="131" spans="2:9">
      <c r="B131" s="59" t="s">
        <v>340</v>
      </c>
      <c r="C131" s="238">
        <f>'6.Cons Profit &amp; Loss'!B36</f>
        <v>2326000</v>
      </c>
      <c r="D131" s="238">
        <f>'6.Cons Profit &amp; Loss'!C36</f>
        <v>2442300</v>
      </c>
      <c r="E131" s="238">
        <f>'6.Cons Profit &amp; Loss'!D36</f>
        <v>2564415</v>
      </c>
      <c r="F131" s="238">
        <f>'6.Cons Profit &amp; Loss'!E36</f>
        <v>2692635.7500000005</v>
      </c>
      <c r="G131" s="238">
        <f>'6.Cons Profit &amp; Loss'!F36</f>
        <v>2827267.5375000001</v>
      </c>
      <c r="H131" s="238">
        <f>'6.Cons Profit &amp; Loss'!G36</f>
        <v>2968630.9143750011</v>
      </c>
      <c r="I131" s="238">
        <f>'6.Cons Profit &amp; Loss'!H36</f>
        <v>3117062.4600937506</v>
      </c>
    </row>
    <row r="132" spans="2:9">
      <c r="B132" s="59" t="s">
        <v>304</v>
      </c>
      <c r="C132" s="238">
        <f>'6.Cons Profit &amp; Loss'!B25*(1+M123)</f>
        <v>60143062.569821529</v>
      </c>
      <c r="D132" s="238">
        <f>'6.Cons Profit &amp; Loss'!C25*(1+N123)</f>
        <v>71152615.155451521</v>
      </c>
      <c r="E132" s="238">
        <f>'6.Cons Profit &amp; Loss'!D25*(1+O123)</f>
        <v>83536358.574371085</v>
      </c>
      <c r="F132" s="238">
        <f>'6.Cons Profit &amp; Loss'!E25*(1+P123)</f>
        <v>96980594.797293931</v>
      </c>
      <c r="G132" s="238">
        <f>'6.Cons Profit &amp; Loss'!F25*(1+Q123)</f>
        <v>111560413.74607322</v>
      </c>
      <c r="H132" s="238">
        <f>'6.Cons Profit &amp; Loss'!G25*(1+R123)</f>
        <v>127355763.10273716</v>
      </c>
      <c r="I132" s="238">
        <f>'6.Cons Profit &amp; Loss'!H25*(1+S123)</f>
        <v>144451746.36070234</v>
      </c>
    </row>
    <row r="133" spans="2:9">
      <c r="B133" s="59" t="s">
        <v>341</v>
      </c>
      <c r="C133" s="238">
        <f t="shared" ref="C133:I133" si="15">SUM(C131:C132)</f>
        <v>62469062.569821529</v>
      </c>
      <c r="D133" s="238">
        <f t="shared" si="15"/>
        <v>73594915.155451521</v>
      </c>
      <c r="E133" s="238">
        <f t="shared" si="15"/>
        <v>86100773.574371085</v>
      </c>
      <c r="F133" s="238">
        <f t="shared" si="15"/>
        <v>99673230.547293931</v>
      </c>
      <c r="G133" s="238">
        <f t="shared" si="15"/>
        <v>114387681.28357321</v>
      </c>
      <c r="H133" s="238">
        <f t="shared" si="15"/>
        <v>130324394.01711217</v>
      </c>
      <c r="I133" s="238">
        <f t="shared" si="15"/>
        <v>147568808.82079607</v>
      </c>
    </row>
    <row r="134" spans="2:9">
      <c r="B134" s="61" t="s">
        <v>342</v>
      </c>
      <c r="C134" s="240">
        <f t="shared" ref="C134:I134" si="16">+C129-C133</f>
        <v>2284112.2089635506</v>
      </c>
      <c r="D134" s="240">
        <f t="shared" si="16"/>
        <v>7330359.0629676282</v>
      </c>
      <c r="E134" s="240">
        <f t="shared" si="16"/>
        <v>9224819.3600451499</v>
      </c>
      <c r="F134" s="240">
        <f t="shared" si="16"/>
        <v>11290399.789173067</v>
      </c>
      <c r="G134" s="240">
        <f t="shared" si="16"/>
        <v>13539476.212813586</v>
      </c>
      <c r="H134" s="240">
        <f t="shared" si="16"/>
        <v>15985234.279345214</v>
      </c>
      <c r="I134" s="240">
        <f t="shared" si="16"/>
        <v>18641719.461998016</v>
      </c>
    </row>
    <row r="135" spans="2:9">
      <c r="B135" s="62"/>
      <c r="C135" s="63"/>
      <c r="D135" s="63"/>
      <c r="E135" s="63"/>
      <c r="F135" s="63"/>
      <c r="G135" s="63"/>
      <c r="H135" s="63"/>
      <c r="I135" s="63"/>
    </row>
    <row r="136" spans="2:9">
      <c r="B136" s="65" t="s">
        <v>343</v>
      </c>
      <c r="C136" s="66" t="s">
        <v>2</v>
      </c>
      <c r="D136" s="66" t="s">
        <v>3</v>
      </c>
      <c r="E136" s="66" t="s">
        <v>4</v>
      </c>
      <c r="F136" s="66" t="s">
        <v>5</v>
      </c>
      <c r="G136" s="66" t="s">
        <v>6</v>
      </c>
      <c r="H136" s="66" t="s">
        <v>166</v>
      </c>
      <c r="I136" s="66" t="s">
        <v>165</v>
      </c>
    </row>
    <row r="137" spans="2:9">
      <c r="B137" s="59" t="str">
        <f t="shared" ref="B137:B143" si="17">B122</f>
        <v>Faclitiy 1 - Cleaning &amp; Grading</v>
      </c>
      <c r="C137" s="60">
        <f>'6.Cons Profit &amp; Loss'!B8</f>
        <v>55908811.900124982</v>
      </c>
      <c r="D137" s="60">
        <f>'6.Cons Profit &amp; Loss'!C8</f>
        <v>64883647.494618751</v>
      </c>
      <c r="E137" s="60">
        <f>'6.Cons Profit &amp; Loss'!D8</f>
        <v>71542758.684855938</v>
      </c>
      <c r="F137" s="60">
        <f>'6.Cons Profit &amp; Loss'!E8</f>
        <v>78705571.875380307</v>
      </c>
      <c r="G137" s="60">
        <f>'6.Cons Profit &amp; Loss'!F8</f>
        <v>86405809.488244981</v>
      </c>
      <c r="H137" s="60">
        <f>'6.Cons Profit &amp; Loss'!G8</f>
        <v>94679306.932707638</v>
      </c>
      <c r="I137" s="60">
        <f>'6.Cons Profit &amp; Loss'!H8</f>
        <v>103564139.59789598</v>
      </c>
    </row>
    <row r="138" spans="2:9">
      <c r="B138" s="59" t="str">
        <f t="shared" si="17"/>
        <v>Faclitiy 2 - Processing Unit- Feed Mill</v>
      </c>
      <c r="C138" s="60">
        <f>'6.Cons Profit &amp; Loss'!B9</f>
        <v>5760878.365384616</v>
      </c>
      <c r="D138" s="60">
        <f>'6.Cons Profit &amp; Loss'!C9</f>
        <v>12188042.237209007</v>
      </c>
      <c r="E138" s="60">
        <f>'6.Cons Profit &amp; Loss'!D9</f>
        <v>19243520.300302383</v>
      </c>
      <c r="F138" s="60">
        <f>'6.Cons Profit &amp; Loss'!E9</f>
        <v>26974076.064112067</v>
      </c>
      <c r="G138" s="60">
        <f>'6.Cons Profit &amp; Loss'!F9</f>
        <v>35429578.603551969</v>
      </c>
      <c r="H138" s="60">
        <f>'6.Cons Profit &amp; Loss'!G9</f>
        <v>44663196.206775576</v>
      </c>
      <c r="I138" s="60">
        <f>'6.Cons Profit &amp; Loss'!H9</f>
        <v>54731601.623812661</v>
      </c>
    </row>
    <row r="139" spans="2:9">
      <c r="B139" s="59" t="str">
        <f t="shared" si="17"/>
        <v>Faclitiy 3 - Warehouse</v>
      </c>
      <c r="C139" s="60">
        <f>'6.Cons Profit &amp; Loss'!B10</f>
        <v>0</v>
      </c>
      <c r="D139" s="60">
        <f>'6.Cons Profit &amp; Loss'!C10</f>
        <v>0</v>
      </c>
      <c r="E139" s="60">
        <f>'6.Cons Profit &amp; Loss'!D10</f>
        <v>0</v>
      </c>
      <c r="F139" s="60">
        <f>'6.Cons Profit &amp; Loss'!E10</f>
        <v>0</v>
      </c>
      <c r="G139" s="60">
        <f>'6.Cons Profit &amp; Loss'!F10</f>
        <v>0</v>
      </c>
      <c r="H139" s="60">
        <f>'6.Cons Profit &amp; Loss'!G10</f>
        <v>0</v>
      </c>
      <c r="I139" s="60">
        <f>'6.Cons Profit &amp; Loss'!H10</f>
        <v>0</v>
      </c>
    </row>
    <row r="140" spans="2:9">
      <c r="B140" s="59" t="str">
        <f t="shared" si="17"/>
        <v xml:space="preserve">Faclitiy 4 - Custom Hiring </v>
      </c>
      <c r="C140" s="60">
        <f>'6.Cons Profit &amp; Loss'!B11</f>
        <v>0</v>
      </c>
      <c r="D140" s="60">
        <f>'6.Cons Profit &amp; Loss'!C11</f>
        <v>0</v>
      </c>
      <c r="E140" s="60">
        <f>'6.Cons Profit &amp; Loss'!D11</f>
        <v>0</v>
      </c>
      <c r="F140" s="60">
        <f>'6.Cons Profit &amp; Loss'!E11</f>
        <v>0</v>
      </c>
      <c r="G140" s="60">
        <f>'6.Cons Profit &amp; Loss'!F11</f>
        <v>0</v>
      </c>
      <c r="H140" s="60">
        <f>'6.Cons Profit &amp; Loss'!G11</f>
        <v>0</v>
      </c>
      <c r="I140" s="60">
        <f>'6.Cons Profit &amp; Loss'!H11</f>
        <v>0</v>
      </c>
    </row>
    <row r="141" spans="2:9">
      <c r="B141" s="59" t="str">
        <f t="shared" si="17"/>
        <v>Faclitiy 5 - Agri Input Centre</v>
      </c>
      <c r="C141" s="60">
        <f>'6.Cons Profit &amp; Loss'!B12</f>
        <v>0</v>
      </c>
      <c r="D141" s="60">
        <f>'6.Cons Profit &amp; Loss'!C12</f>
        <v>0</v>
      </c>
      <c r="E141" s="60">
        <f>'6.Cons Profit &amp; Loss'!D12</f>
        <v>0</v>
      </c>
      <c r="F141" s="60">
        <f>'6.Cons Profit &amp; Loss'!E12</f>
        <v>0</v>
      </c>
      <c r="G141" s="60">
        <f>'6.Cons Profit &amp; Loss'!F12</f>
        <v>0</v>
      </c>
      <c r="H141" s="60">
        <f>'6.Cons Profit &amp; Loss'!G12</f>
        <v>0</v>
      </c>
      <c r="I141" s="60">
        <f>'6.Cons Profit &amp; Loss'!H12</f>
        <v>0</v>
      </c>
    </row>
    <row r="142" spans="2:9">
      <c r="B142" s="59" t="str">
        <f t="shared" si="17"/>
        <v>Facility 6 - Processing Unit - Horti Commodity</v>
      </c>
      <c r="C142" s="60">
        <f>'6.Cons Profit &amp; Loss'!B13</f>
        <v>0</v>
      </c>
      <c r="D142" s="60">
        <f>'6.Cons Profit &amp; Loss'!C13</f>
        <v>0</v>
      </c>
      <c r="E142" s="60">
        <f>'6.Cons Profit &amp; Loss'!D13</f>
        <v>0</v>
      </c>
      <c r="F142" s="60">
        <f>'6.Cons Profit &amp; Loss'!E13</f>
        <v>0</v>
      </c>
      <c r="G142" s="60">
        <f>'6.Cons Profit &amp; Loss'!F13</f>
        <v>0</v>
      </c>
      <c r="H142" s="60">
        <f>'6.Cons Profit &amp; Loss'!G13</f>
        <v>0</v>
      </c>
      <c r="I142" s="60">
        <f>'6.Cons Profit &amp; Loss'!H13</f>
        <v>0</v>
      </c>
    </row>
    <row r="143" spans="2:9">
      <c r="B143" s="59">
        <f t="shared" si="17"/>
        <v>0</v>
      </c>
      <c r="C143" s="60">
        <f>'6.Cons Profit &amp; Loss'!B14</f>
        <v>0</v>
      </c>
      <c r="D143" s="60">
        <f>'6.Cons Profit &amp; Loss'!C14</f>
        <v>0</v>
      </c>
      <c r="E143" s="60">
        <f>'6.Cons Profit &amp; Loss'!D14</f>
        <v>0</v>
      </c>
      <c r="F143" s="60">
        <f>'6.Cons Profit &amp; Loss'!E14</f>
        <v>0</v>
      </c>
      <c r="G143" s="60">
        <f>'6.Cons Profit &amp; Loss'!F14</f>
        <v>0</v>
      </c>
      <c r="H143" s="60">
        <f>'6.Cons Profit &amp; Loss'!G14</f>
        <v>0</v>
      </c>
      <c r="I143" s="60">
        <f>'6.Cons Profit &amp; Loss'!H14</f>
        <v>0</v>
      </c>
    </row>
    <row r="144" spans="2:9">
      <c r="B144" s="59" t="s">
        <v>338</v>
      </c>
      <c r="C144" s="60">
        <f>SUM(C137:C143)</f>
        <v>61669690.265509598</v>
      </c>
      <c r="D144" s="60">
        <f t="shared" ref="D144:I144" si="18">SUM(D137:D143)</f>
        <v>77071689.731827766</v>
      </c>
      <c r="E144" s="60">
        <f t="shared" si="18"/>
        <v>90786278.985158324</v>
      </c>
      <c r="F144" s="60">
        <f t="shared" si="18"/>
        <v>105679647.93949237</v>
      </c>
      <c r="G144" s="60">
        <f t="shared" si="18"/>
        <v>121835388.09179695</v>
      </c>
      <c r="H144" s="60">
        <f t="shared" si="18"/>
        <v>139342503.13948321</v>
      </c>
      <c r="I144" s="60">
        <f t="shared" si="18"/>
        <v>158295741.22170866</v>
      </c>
    </row>
    <row r="145" spans="2:15">
      <c r="B145" s="59" t="s">
        <v>339</v>
      </c>
      <c r="C145" s="64"/>
      <c r="D145" s="60"/>
      <c r="E145" s="60"/>
      <c r="F145" s="60"/>
      <c r="G145" s="60"/>
      <c r="H145" s="60"/>
      <c r="I145" s="60"/>
    </row>
    <row r="146" spans="2:15">
      <c r="B146" s="59" t="s">
        <v>340</v>
      </c>
      <c r="C146" s="238">
        <f>'6.Cons Profit &amp; Loss'!B36</f>
        <v>2326000</v>
      </c>
      <c r="D146" s="238">
        <f>'6.Cons Profit &amp; Loss'!C36</f>
        <v>2442300</v>
      </c>
      <c r="E146" s="238">
        <f>'6.Cons Profit &amp; Loss'!D36</f>
        <v>2564415</v>
      </c>
      <c r="F146" s="238">
        <f>'6.Cons Profit &amp; Loss'!E36</f>
        <v>2692635.7500000005</v>
      </c>
      <c r="G146" s="238">
        <f>'6.Cons Profit &amp; Loss'!F36</f>
        <v>2827267.5375000001</v>
      </c>
      <c r="H146" s="238">
        <f>'6.Cons Profit &amp; Loss'!G36</f>
        <v>2968630.9143750011</v>
      </c>
      <c r="I146" s="238">
        <f>'6.Cons Profit &amp; Loss'!H36</f>
        <v>3117062.4600937506</v>
      </c>
    </row>
    <row r="147" spans="2:15">
      <c r="B147" s="59" t="s">
        <v>304</v>
      </c>
      <c r="C147" s="238">
        <f>'6.Cons Profit &amp; Loss'!B25*(1+$M$124)</f>
        <v>60143062.569821529</v>
      </c>
      <c r="D147" s="238">
        <f>'6.Cons Profit &amp; Loss'!C25*(1+$M$124)</f>
        <v>74710245.913224101</v>
      </c>
      <c r="E147" s="238">
        <f>'6.Cons Profit &amp; Loss'!D25*(1+$M$124)</f>
        <v>87713176.503089637</v>
      </c>
      <c r="F147" s="238">
        <f>'6.Cons Profit &amp; Loss'!E25*(1+$M$124)</f>
        <v>101829624.53715864</v>
      </c>
      <c r="G147" s="238">
        <f>'6.Cons Profit &amp; Loss'!F25*(1+$M$124)</f>
        <v>117138434.43337688</v>
      </c>
      <c r="H147" s="238">
        <f>'6.Cons Profit &amp; Loss'!G25*(1+$M$124)</f>
        <v>133723551.25787403</v>
      </c>
      <c r="I147" s="238">
        <f>'6.Cons Profit &amp; Loss'!H25*(1+$M$124)</f>
        <v>151674333.67873746</v>
      </c>
    </row>
    <row r="148" spans="2:15">
      <c r="B148" s="59" t="s">
        <v>341</v>
      </c>
      <c r="C148" s="238">
        <f t="shared" ref="C148:I148" si="19">SUM(C146:C147)</f>
        <v>62469062.569821529</v>
      </c>
      <c r="D148" s="238">
        <f t="shared" si="19"/>
        <v>77152545.913224101</v>
      </c>
      <c r="E148" s="238">
        <f t="shared" si="19"/>
        <v>90277591.503089637</v>
      </c>
      <c r="F148" s="238">
        <f t="shared" si="19"/>
        <v>104522260.28715864</v>
      </c>
      <c r="G148" s="238">
        <f t="shared" si="19"/>
        <v>119965701.97087687</v>
      </c>
      <c r="H148" s="238">
        <f t="shared" si="19"/>
        <v>136692182.17224902</v>
      </c>
      <c r="I148" s="238">
        <f t="shared" si="19"/>
        <v>154791396.1388312</v>
      </c>
    </row>
    <row r="149" spans="2:15">
      <c r="B149" s="61" t="s">
        <v>342</v>
      </c>
      <c r="C149" s="240">
        <f t="shared" ref="C149:I149" si="20">+C144-C148</f>
        <v>-799372.30431193113</v>
      </c>
      <c r="D149" s="240">
        <f t="shared" si="20"/>
        <v>-80856.181396335363</v>
      </c>
      <c r="E149" s="240">
        <f t="shared" si="20"/>
        <v>508687.48206868768</v>
      </c>
      <c r="F149" s="240">
        <f t="shared" si="20"/>
        <v>1157387.6523337364</v>
      </c>
      <c r="G149" s="240">
        <f t="shared" si="20"/>
        <v>1869686.120920077</v>
      </c>
      <c r="H149" s="240">
        <f t="shared" si="20"/>
        <v>2650320.9672341943</v>
      </c>
      <c r="I149" s="240">
        <f t="shared" si="20"/>
        <v>3504345.0828774571</v>
      </c>
      <c r="N149" s="2"/>
      <c r="O149" s="4"/>
    </row>
    <row r="150" spans="2:15">
      <c r="B150" s="62"/>
      <c r="C150" s="63"/>
      <c r="D150" s="63"/>
      <c r="E150" s="63"/>
      <c r="F150" s="63"/>
      <c r="G150" s="63"/>
      <c r="H150" s="63"/>
      <c r="I150" s="63"/>
    </row>
    <row r="151" spans="2:15">
      <c r="B151" s="65" t="s">
        <v>344</v>
      </c>
      <c r="C151" s="66" t="s">
        <v>2</v>
      </c>
      <c r="D151" s="66" t="s">
        <v>3</v>
      </c>
      <c r="E151" s="66" t="s">
        <v>4</v>
      </c>
      <c r="F151" s="66" t="s">
        <v>5</v>
      </c>
      <c r="G151" s="66" t="s">
        <v>6</v>
      </c>
      <c r="H151" s="66" t="s">
        <v>166</v>
      </c>
      <c r="I151" s="66" t="s">
        <v>165</v>
      </c>
    </row>
    <row r="152" spans="2:15">
      <c r="B152" s="59" t="str">
        <f t="shared" ref="B152:B158" si="21">B137</f>
        <v>Faclitiy 1 - Cleaning &amp; Grading</v>
      </c>
      <c r="C152" s="238">
        <f>'6.Cons Profit &amp; Loss'!B8*(1-$M$123)</f>
        <v>53113371.305118732</v>
      </c>
      <c r="D152" s="238">
        <f>'6.Cons Profit &amp; Loss'!C8*(1-$M$123)</f>
        <v>61639465.119887814</v>
      </c>
      <c r="E152" s="238">
        <f>'6.Cons Profit &amp; Loss'!D8*(1-$M$123)</f>
        <v>67965620.750613138</v>
      </c>
      <c r="F152" s="238">
        <f>'6.Cons Profit &amp; Loss'!E8*(1-$M$123)</f>
        <v>74770293.281611294</v>
      </c>
      <c r="G152" s="238">
        <f>'6.Cons Profit &amp; Loss'!F8*(1-$M$123)</f>
        <v>82085519.013832733</v>
      </c>
      <c r="H152" s="238">
        <f>'6.Cons Profit &amp; Loss'!G8*(1-$M$123)</f>
        <v>89945341.586072251</v>
      </c>
      <c r="I152" s="238">
        <f>'6.Cons Profit &amp; Loss'!H8*(1-$M$123)</f>
        <v>98385932.618001178</v>
      </c>
    </row>
    <row r="153" spans="2:15">
      <c r="B153" s="59" t="str">
        <f t="shared" si="21"/>
        <v>Faclitiy 2 - Processing Unit- Feed Mill</v>
      </c>
      <c r="C153" s="238">
        <f>'6.Cons Profit &amp; Loss'!B9*(1-$M$123)</f>
        <v>5472834.447115385</v>
      </c>
      <c r="D153" s="238">
        <f>'6.Cons Profit &amp; Loss'!C9*(1-$M$123)</f>
        <v>11578640.125348557</v>
      </c>
      <c r="E153" s="238">
        <f>'6.Cons Profit &amp; Loss'!D9*(1-$M$123)</f>
        <v>18281344.285287261</v>
      </c>
      <c r="F153" s="238">
        <f>'6.Cons Profit &amp; Loss'!E9*(1-$M$123)</f>
        <v>25625372.260906462</v>
      </c>
      <c r="G153" s="238">
        <f>'6.Cons Profit &amp; Loss'!F9*(1-$M$123)</f>
        <v>33658099.67337437</v>
      </c>
      <c r="H153" s="238">
        <f>'6.Cons Profit &amp; Loss'!G9*(1-$M$123)</f>
        <v>42430036.396436796</v>
      </c>
      <c r="I153" s="238">
        <f>'6.Cons Profit &amp; Loss'!H9*(1-$M$123)</f>
        <v>51995021.542622022</v>
      </c>
    </row>
    <row r="154" spans="2:15">
      <c r="B154" s="59" t="str">
        <f t="shared" si="21"/>
        <v>Faclitiy 3 - Warehouse</v>
      </c>
      <c r="C154" s="238">
        <f>'6.Cons Profit &amp; Loss'!B10*(1-$M$123)</f>
        <v>0</v>
      </c>
      <c r="D154" s="238">
        <f>'6.Cons Profit &amp; Loss'!C10*(1-$M$123)</f>
        <v>0</v>
      </c>
      <c r="E154" s="238">
        <f>'6.Cons Profit &amp; Loss'!D10*(1-$M$123)</f>
        <v>0</v>
      </c>
      <c r="F154" s="238">
        <f>'6.Cons Profit &amp; Loss'!E10*(1-$M$123)</f>
        <v>0</v>
      </c>
      <c r="G154" s="238">
        <f>'6.Cons Profit &amp; Loss'!F10*(1-$M$123)</f>
        <v>0</v>
      </c>
      <c r="H154" s="238">
        <f>'6.Cons Profit &amp; Loss'!G10*(1-$M$123)</f>
        <v>0</v>
      </c>
      <c r="I154" s="238">
        <f>'6.Cons Profit &amp; Loss'!H10*(1-$M$123)</f>
        <v>0</v>
      </c>
    </row>
    <row r="155" spans="2:15">
      <c r="B155" s="59" t="str">
        <f t="shared" si="21"/>
        <v xml:space="preserve">Faclitiy 4 - Custom Hiring </v>
      </c>
      <c r="C155" s="238">
        <f>'6.Cons Profit &amp; Loss'!B11*(1-$M$123)</f>
        <v>0</v>
      </c>
      <c r="D155" s="238">
        <f>'6.Cons Profit &amp; Loss'!C11*(1-$M$123)</f>
        <v>0</v>
      </c>
      <c r="E155" s="238">
        <f>'6.Cons Profit &amp; Loss'!D11*(1-$M$123)</f>
        <v>0</v>
      </c>
      <c r="F155" s="238">
        <f>'6.Cons Profit &amp; Loss'!E11*(1-$M$123)</f>
        <v>0</v>
      </c>
      <c r="G155" s="238">
        <f>'6.Cons Profit &amp; Loss'!F11*(1-$M$123)</f>
        <v>0</v>
      </c>
      <c r="H155" s="238">
        <f>'6.Cons Profit &amp; Loss'!G11*(1-$M$123)</f>
        <v>0</v>
      </c>
      <c r="I155" s="238">
        <f>'6.Cons Profit &amp; Loss'!H11*(1-$M$123)</f>
        <v>0</v>
      </c>
    </row>
    <row r="156" spans="2:15">
      <c r="B156" s="59" t="str">
        <f t="shared" si="21"/>
        <v>Faclitiy 5 - Agri Input Centre</v>
      </c>
      <c r="C156" s="238">
        <f>'6.Cons Profit &amp; Loss'!B12*(1-$M$123)</f>
        <v>0</v>
      </c>
      <c r="D156" s="238">
        <f>'6.Cons Profit &amp; Loss'!C12*(1-$M$123)</f>
        <v>0</v>
      </c>
      <c r="E156" s="238">
        <f>'6.Cons Profit &amp; Loss'!D12*(1-$M$123)</f>
        <v>0</v>
      </c>
      <c r="F156" s="238">
        <f>'6.Cons Profit &amp; Loss'!E12*(1-$M$123)</f>
        <v>0</v>
      </c>
      <c r="G156" s="238">
        <f>'6.Cons Profit &amp; Loss'!F12*(1-$M$123)</f>
        <v>0</v>
      </c>
      <c r="H156" s="238">
        <f>'6.Cons Profit &amp; Loss'!G12*(1-$M$123)</f>
        <v>0</v>
      </c>
      <c r="I156" s="238">
        <f>'6.Cons Profit &amp; Loss'!H12*(1-$M$123)</f>
        <v>0</v>
      </c>
    </row>
    <row r="157" spans="2:15">
      <c r="B157" s="59" t="str">
        <f t="shared" si="21"/>
        <v>Facility 6 - Processing Unit - Horti Commodity</v>
      </c>
      <c r="C157" s="238">
        <f>'6.Cons Profit &amp; Loss'!B13*(1-$M$123)</f>
        <v>0</v>
      </c>
      <c r="D157" s="238">
        <f>'6.Cons Profit &amp; Loss'!C13*(1-$M$123)</f>
        <v>0</v>
      </c>
      <c r="E157" s="238">
        <f>'6.Cons Profit &amp; Loss'!D13*(1-$M$123)</f>
        <v>0</v>
      </c>
      <c r="F157" s="238">
        <f>'6.Cons Profit &amp; Loss'!E13*(1-$M$123)</f>
        <v>0</v>
      </c>
      <c r="G157" s="238">
        <f>'6.Cons Profit &amp; Loss'!F13*(1-$M$123)</f>
        <v>0</v>
      </c>
      <c r="H157" s="238">
        <f>'6.Cons Profit &amp; Loss'!G13*(1-$M$123)</f>
        <v>0</v>
      </c>
      <c r="I157" s="238">
        <f>'6.Cons Profit &amp; Loss'!H13*(1-$M$123)</f>
        <v>0</v>
      </c>
    </row>
    <row r="158" spans="2:15">
      <c r="B158" s="59">
        <f t="shared" si="21"/>
        <v>0</v>
      </c>
      <c r="C158" s="238">
        <f>'6.Cons Profit &amp; Loss'!B14*(1-$M$123)</f>
        <v>0</v>
      </c>
      <c r="D158" s="238">
        <f>'6.Cons Profit &amp; Loss'!C14*(1-$M$123)</f>
        <v>0</v>
      </c>
      <c r="E158" s="238">
        <f>'6.Cons Profit &amp; Loss'!D14*(1-$M$123)</f>
        <v>0</v>
      </c>
      <c r="F158" s="238">
        <f>'6.Cons Profit &amp; Loss'!E14*(1-$M$123)</f>
        <v>0</v>
      </c>
      <c r="G158" s="238">
        <f>'6.Cons Profit &amp; Loss'!F14*(1-$M$123)</f>
        <v>0</v>
      </c>
      <c r="H158" s="238">
        <f>'6.Cons Profit &amp; Loss'!G14*(1-$M$123)</f>
        <v>0</v>
      </c>
      <c r="I158" s="238">
        <f>'6.Cons Profit &amp; Loss'!H14*(1-$M$123)</f>
        <v>0</v>
      </c>
    </row>
    <row r="159" spans="2:15">
      <c r="B159" s="59" t="s">
        <v>338</v>
      </c>
      <c r="C159" s="238">
        <f>SUM(C152:C158)</f>
        <v>58586205.752234116</v>
      </c>
      <c r="D159" s="238">
        <f t="shared" ref="D159:I159" si="22">SUM(D152:D158)</f>
        <v>73218105.245236367</v>
      </c>
      <c r="E159" s="238">
        <f t="shared" si="22"/>
        <v>86246965.035900399</v>
      </c>
      <c r="F159" s="238">
        <f t="shared" si="22"/>
        <v>100395665.54251775</v>
      </c>
      <c r="G159" s="238">
        <f t="shared" si="22"/>
        <v>115743618.6872071</v>
      </c>
      <c r="H159" s="238">
        <f t="shared" si="22"/>
        <v>132375377.98250905</v>
      </c>
      <c r="I159" s="238">
        <f t="shared" si="22"/>
        <v>150380954.16062319</v>
      </c>
    </row>
    <row r="160" spans="2:15">
      <c r="B160" s="59" t="s">
        <v>339</v>
      </c>
      <c r="C160" s="238"/>
      <c r="D160" s="238"/>
      <c r="E160" s="238"/>
      <c r="F160" s="238"/>
      <c r="G160" s="238"/>
      <c r="H160" s="238"/>
      <c r="I160" s="238"/>
    </row>
    <row r="161" spans="2:9">
      <c r="B161" s="59" t="s">
        <v>340</v>
      </c>
      <c r="C161" s="238">
        <f>'6.Cons Profit &amp; Loss'!B36</f>
        <v>2326000</v>
      </c>
      <c r="D161" s="238">
        <f>'6.Cons Profit &amp; Loss'!C36</f>
        <v>2442300</v>
      </c>
      <c r="E161" s="238">
        <f>'6.Cons Profit &amp; Loss'!D36</f>
        <v>2564415</v>
      </c>
      <c r="F161" s="238">
        <f>'6.Cons Profit &amp; Loss'!E36</f>
        <v>2692635.7500000005</v>
      </c>
      <c r="G161" s="238">
        <f>'6.Cons Profit &amp; Loss'!F36</f>
        <v>2827267.5375000001</v>
      </c>
      <c r="H161" s="238">
        <f>'6.Cons Profit &amp; Loss'!G36</f>
        <v>2968630.9143750011</v>
      </c>
      <c r="I161" s="238">
        <f>'6.Cons Profit &amp; Loss'!H36</f>
        <v>3117062.4600937506</v>
      </c>
    </row>
    <row r="162" spans="2:9">
      <c r="B162" s="59" t="s">
        <v>304</v>
      </c>
      <c r="C162" s="238">
        <f>'6.Cons Profit &amp; Loss'!B25*(1-$M$123)</f>
        <v>54415151.84888614</v>
      </c>
      <c r="D162" s="238">
        <f>'6.Cons Profit &amp; Loss'!C25*(1-$M$123)</f>
        <v>67594984.397678941</v>
      </c>
      <c r="E162" s="238">
        <f>'6.Cons Profit &amp; Loss'!D25*(1-$M$123)</f>
        <v>79359540.645652533</v>
      </c>
      <c r="F162" s="238">
        <f>'6.Cons Profit &amp; Loss'!E25*(1-$M$123)</f>
        <v>92131565.057429224</v>
      </c>
      <c r="G162" s="238">
        <f>'6.Cons Profit &amp; Loss'!F25*(1-$M$123)</f>
        <v>105982393.05876955</v>
      </c>
      <c r="H162" s="238">
        <f>'6.Cons Profit &amp; Loss'!G25*(1-$M$123)</f>
        <v>120987974.94760029</v>
      </c>
      <c r="I162" s="238">
        <f>'6.Cons Profit &amp; Loss'!H25*(1-$M$123)</f>
        <v>137229159.04266721</v>
      </c>
    </row>
    <row r="163" spans="2:9">
      <c r="B163" s="59" t="s">
        <v>341</v>
      </c>
      <c r="C163" s="238">
        <f t="shared" ref="C163:I163" si="23">SUM(C161:C162)</f>
        <v>56741151.84888614</v>
      </c>
      <c r="D163" s="238">
        <f t="shared" si="23"/>
        <v>70037284.397678941</v>
      </c>
      <c r="E163" s="238">
        <f t="shared" si="23"/>
        <v>81923955.645652533</v>
      </c>
      <c r="F163" s="238">
        <f t="shared" si="23"/>
        <v>94824200.807429224</v>
      </c>
      <c r="G163" s="238">
        <f t="shared" si="23"/>
        <v>108809660.59626955</v>
      </c>
      <c r="H163" s="238">
        <f t="shared" si="23"/>
        <v>123956605.8619753</v>
      </c>
      <c r="I163" s="238">
        <f t="shared" si="23"/>
        <v>140346221.50276095</v>
      </c>
    </row>
    <row r="164" spans="2:9">
      <c r="B164" s="61" t="s">
        <v>342</v>
      </c>
      <c r="C164" s="240">
        <f t="shared" ref="C164:I164" si="24">+C159-C163</f>
        <v>1845053.9033479765</v>
      </c>
      <c r="D164" s="240">
        <f t="shared" si="24"/>
        <v>3180820.8475574255</v>
      </c>
      <c r="E164" s="240">
        <f t="shared" si="24"/>
        <v>4323009.3902478665</v>
      </c>
      <c r="F164" s="240">
        <f t="shared" si="24"/>
        <v>5571464.7350885272</v>
      </c>
      <c r="G164" s="240">
        <f t="shared" si="24"/>
        <v>6933958.0909375548</v>
      </c>
      <c r="H164" s="240">
        <f t="shared" si="24"/>
        <v>8418772.1205337495</v>
      </c>
      <c r="I164" s="240">
        <f t="shared" si="24"/>
        <v>10034732.657862246</v>
      </c>
    </row>
    <row r="165" spans="2:9">
      <c r="B165" s="11"/>
      <c r="C165" s="63"/>
      <c r="D165" s="63"/>
      <c r="E165" s="63"/>
      <c r="F165" s="63"/>
      <c r="G165" s="63"/>
      <c r="H165" s="63"/>
      <c r="I165" s="63"/>
    </row>
    <row r="166" spans="2:9">
      <c r="B166" s="65" t="s">
        <v>345</v>
      </c>
      <c r="C166" s="66" t="s">
        <v>2</v>
      </c>
      <c r="D166" s="66" t="s">
        <v>3</v>
      </c>
      <c r="E166" s="66" t="s">
        <v>4</v>
      </c>
      <c r="F166" s="66" t="s">
        <v>5</v>
      </c>
      <c r="G166" s="66" t="s">
        <v>6</v>
      </c>
      <c r="H166" s="66" t="s">
        <v>166</v>
      </c>
      <c r="I166" s="66" t="s">
        <v>165</v>
      </c>
    </row>
    <row r="167" spans="2:9">
      <c r="B167" s="59" t="str">
        <f t="shared" ref="B167:B173" si="25">B152</f>
        <v>Faclitiy 1 - Cleaning &amp; Grading</v>
      </c>
      <c r="C167" s="60">
        <f>'6.Cons Profit &amp; Loss'!B8</f>
        <v>55908811.900124982</v>
      </c>
      <c r="D167" s="60">
        <f>'6.Cons Profit &amp; Loss'!C8</f>
        <v>64883647.494618751</v>
      </c>
      <c r="E167" s="60">
        <f>'6.Cons Profit &amp; Loss'!D8</f>
        <v>71542758.684855938</v>
      </c>
      <c r="F167" s="60">
        <f>'6.Cons Profit &amp; Loss'!E8</f>
        <v>78705571.875380307</v>
      </c>
      <c r="G167" s="60">
        <f>'6.Cons Profit &amp; Loss'!F8</f>
        <v>86405809.488244981</v>
      </c>
      <c r="H167" s="60">
        <f>'6.Cons Profit &amp; Loss'!G8</f>
        <v>94679306.932707638</v>
      </c>
      <c r="I167" s="60">
        <f>'6.Cons Profit &amp; Loss'!H8</f>
        <v>103564139.59789598</v>
      </c>
    </row>
    <row r="168" spans="2:9">
      <c r="B168" s="59" t="str">
        <f t="shared" si="25"/>
        <v>Faclitiy 2 - Processing Unit- Feed Mill</v>
      </c>
      <c r="C168" s="60">
        <f>'6.Cons Profit &amp; Loss'!B9</f>
        <v>5760878.365384616</v>
      </c>
      <c r="D168" s="60">
        <f>'6.Cons Profit &amp; Loss'!C9</f>
        <v>12188042.237209007</v>
      </c>
      <c r="E168" s="60">
        <f>'6.Cons Profit &amp; Loss'!D9</f>
        <v>19243520.300302383</v>
      </c>
      <c r="F168" s="60">
        <f>'6.Cons Profit &amp; Loss'!E9</f>
        <v>26974076.064112067</v>
      </c>
      <c r="G168" s="60">
        <f>'6.Cons Profit &amp; Loss'!F9</f>
        <v>35429578.603551969</v>
      </c>
      <c r="H168" s="60">
        <f>'6.Cons Profit &amp; Loss'!G9</f>
        <v>44663196.206775576</v>
      </c>
      <c r="I168" s="60">
        <f>'6.Cons Profit &amp; Loss'!H9</f>
        <v>54731601.623812661</v>
      </c>
    </row>
    <row r="169" spans="2:9">
      <c r="B169" s="59" t="str">
        <f t="shared" si="25"/>
        <v>Faclitiy 3 - Warehouse</v>
      </c>
      <c r="C169" s="60">
        <f>'6.Cons Profit &amp; Loss'!B10</f>
        <v>0</v>
      </c>
      <c r="D169" s="60">
        <f>'6.Cons Profit &amp; Loss'!C10</f>
        <v>0</v>
      </c>
      <c r="E169" s="60">
        <f>'6.Cons Profit &amp; Loss'!D10</f>
        <v>0</v>
      </c>
      <c r="F169" s="60">
        <f>'6.Cons Profit &amp; Loss'!E10</f>
        <v>0</v>
      </c>
      <c r="G169" s="60">
        <f>'6.Cons Profit &amp; Loss'!F10</f>
        <v>0</v>
      </c>
      <c r="H169" s="60">
        <f>'6.Cons Profit &amp; Loss'!G10</f>
        <v>0</v>
      </c>
      <c r="I169" s="60">
        <f>'6.Cons Profit &amp; Loss'!H10</f>
        <v>0</v>
      </c>
    </row>
    <row r="170" spans="2:9">
      <c r="B170" s="59" t="str">
        <f t="shared" si="25"/>
        <v xml:space="preserve">Faclitiy 4 - Custom Hiring </v>
      </c>
      <c r="C170" s="60">
        <f>'6.Cons Profit &amp; Loss'!B11</f>
        <v>0</v>
      </c>
      <c r="D170" s="60">
        <f>'6.Cons Profit &amp; Loss'!C11</f>
        <v>0</v>
      </c>
      <c r="E170" s="60">
        <f>'6.Cons Profit &amp; Loss'!D11</f>
        <v>0</v>
      </c>
      <c r="F170" s="60">
        <f>'6.Cons Profit &amp; Loss'!E11</f>
        <v>0</v>
      </c>
      <c r="G170" s="60">
        <f>'6.Cons Profit &amp; Loss'!F11</f>
        <v>0</v>
      </c>
      <c r="H170" s="60">
        <f>'6.Cons Profit &amp; Loss'!G11</f>
        <v>0</v>
      </c>
      <c r="I170" s="60">
        <f>'6.Cons Profit &amp; Loss'!H11</f>
        <v>0</v>
      </c>
    </row>
    <row r="171" spans="2:9">
      <c r="B171" s="59" t="str">
        <f t="shared" si="25"/>
        <v>Faclitiy 5 - Agri Input Centre</v>
      </c>
      <c r="C171" s="60">
        <f>'6.Cons Profit &amp; Loss'!B12</f>
        <v>0</v>
      </c>
      <c r="D171" s="60">
        <f>'6.Cons Profit &amp; Loss'!C12</f>
        <v>0</v>
      </c>
      <c r="E171" s="60">
        <f>'6.Cons Profit &amp; Loss'!D12</f>
        <v>0</v>
      </c>
      <c r="F171" s="60">
        <f>'6.Cons Profit &amp; Loss'!E12</f>
        <v>0</v>
      </c>
      <c r="G171" s="60">
        <f>'6.Cons Profit &amp; Loss'!F12</f>
        <v>0</v>
      </c>
      <c r="H171" s="60">
        <f>'6.Cons Profit &amp; Loss'!G12</f>
        <v>0</v>
      </c>
      <c r="I171" s="60">
        <f>'6.Cons Profit &amp; Loss'!H12</f>
        <v>0</v>
      </c>
    </row>
    <row r="172" spans="2:9">
      <c r="B172" s="59" t="str">
        <f t="shared" si="25"/>
        <v>Facility 6 - Processing Unit - Horti Commodity</v>
      </c>
      <c r="C172" s="60">
        <f>'6.Cons Profit &amp; Loss'!B13</f>
        <v>0</v>
      </c>
      <c r="D172" s="60">
        <f>'6.Cons Profit &amp; Loss'!C13</f>
        <v>0</v>
      </c>
      <c r="E172" s="60">
        <f>'6.Cons Profit &amp; Loss'!D13</f>
        <v>0</v>
      </c>
      <c r="F172" s="60">
        <f>'6.Cons Profit &amp; Loss'!E13</f>
        <v>0</v>
      </c>
      <c r="G172" s="60">
        <f>'6.Cons Profit &amp; Loss'!F13</f>
        <v>0</v>
      </c>
      <c r="H172" s="60">
        <f>'6.Cons Profit &amp; Loss'!G13</f>
        <v>0</v>
      </c>
      <c r="I172" s="60">
        <f>'6.Cons Profit &amp; Loss'!H13</f>
        <v>0</v>
      </c>
    </row>
    <row r="173" spans="2:9">
      <c r="B173" s="59">
        <f t="shared" si="25"/>
        <v>0</v>
      </c>
      <c r="C173" s="60">
        <f>'6.Cons Profit &amp; Loss'!B14</f>
        <v>0</v>
      </c>
      <c r="D173" s="60">
        <f>'6.Cons Profit &amp; Loss'!C14</f>
        <v>0</v>
      </c>
      <c r="E173" s="60">
        <f>'6.Cons Profit &amp; Loss'!D14</f>
        <v>0</v>
      </c>
      <c r="F173" s="60">
        <f>'6.Cons Profit &amp; Loss'!E14</f>
        <v>0</v>
      </c>
      <c r="G173" s="60">
        <f>'6.Cons Profit &amp; Loss'!F14</f>
        <v>0</v>
      </c>
      <c r="H173" s="60">
        <f>'6.Cons Profit &amp; Loss'!G14</f>
        <v>0</v>
      </c>
      <c r="I173" s="60">
        <f>'6.Cons Profit &amp; Loss'!H14</f>
        <v>0</v>
      </c>
    </row>
    <row r="174" spans="2:9">
      <c r="B174" s="59" t="s">
        <v>338</v>
      </c>
      <c r="C174" s="60">
        <f>SUM(C167:C173)</f>
        <v>61669690.265509598</v>
      </c>
      <c r="D174" s="60">
        <f t="shared" ref="D174:I174" si="26">SUM(D167:D173)</f>
        <v>77071689.731827766</v>
      </c>
      <c r="E174" s="60">
        <f t="shared" si="26"/>
        <v>90786278.985158324</v>
      </c>
      <c r="F174" s="60">
        <f t="shared" si="26"/>
        <v>105679647.93949237</v>
      </c>
      <c r="G174" s="60">
        <f t="shared" si="26"/>
        <v>121835388.09179695</v>
      </c>
      <c r="H174" s="60">
        <f t="shared" si="26"/>
        <v>139342503.13948321</v>
      </c>
      <c r="I174" s="60">
        <f t="shared" si="26"/>
        <v>158295741.22170866</v>
      </c>
    </row>
    <row r="175" spans="2:9">
      <c r="B175" s="59" t="s">
        <v>339</v>
      </c>
      <c r="C175" s="60"/>
      <c r="D175" s="60"/>
      <c r="E175" s="60"/>
      <c r="F175" s="60"/>
      <c r="G175" s="60"/>
      <c r="H175" s="60"/>
      <c r="I175" s="60"/>
    </row>
    <row r="176" spans="2:9">
      <c r="B176" s="59" t="s">
        <v>340</v>
      </c>
      <c r="C176" s="60">
        <f>'6.Cons Profit &amp; Loss'!B36</f>
        <v>2326000</v>
      </c>
      <c r="D176" s="60">
        <f>'6.Cons Profit &amp; Loss'!C36</f>
        <v>2442300</v>
      </c>
      <c r="E176" s="60">
        <f>'6.Cons Profit &amp; Loss'!D36</f>
        <v>2564415</v>
      </c>
      <c r="F176" s="60">
        <f>'6.Cons Profit &amp; Loss'!E36</f>
        <v>2692635.7500000005</v>
      </c>
      <c r="G176" s="60">
        <f>'6.Cons Profit &amp; Loss'!F36</f>
        <v>2827267.5375000001</v>
      </c>
      <c r="H176" s="60">
        <f>'6.Cons Profit &amp; Loss'!G36</f>
        <v>2968630.9143750011</v>
      </c>
      <c r="I176" s="60">
        <f>'6.Cons Profit &amp; Loss'!H36</f>
        <v>3117062.4600937506</v>
      </c>
    </row>
    <row r="177" spans="2:13">
      <c r="B177" s="59" t="s">
        <v>304</v>
      </c>
      <c r="C177" s="60">
        <f>'6.Cons Profit &amp; Loss'!B25*(1-$M$124)</f>
        <v>54415151.84888614</v>
      </c>
      <c r="D177" s="60">
        <f>'6.Cons Profit &amp; Loss'!C25*(1-$M$124)</f>
        <v>67594984.397678941</v>
      </c>
      <c r="E177" s="60">
        <f>'6.Cons Profit &amp; Loss'!D25*(1-$M$124)</f>
        <v>79359540.645652533</v>
      </c>
      <c r="F177" s="60">
        <f>'6.Cons Profit &amp; Loss'!E25*(1-$M$124)</f>
        <v>92131565.057429224</v>
      </c>
      <c r="G177" s="60">
        <f>'6.Cons Profit &amp; Loss'!F25*(1-$M$124)</f>
        <v>105982393.05876955</v>
      </c>
      <c r="H177" s="60">
        <f>'6.Cons Profit &amp; Loss'!G25*(1-$M$124)</f>
        <v>120987974.94760029</v>
      </c>
      <c r="I177" s="60">
        <f>'6.Cons Profit &amp; Loss'!H25*(1-$M$124)</f>
        <v>137229159.04266721</v>
      </c>
    </row>
    <row r="178" spans="2:13">
      <c r="B178" s="59" t="s">
        <v>341</v>
      </c>
      <c r="C178" s="60">
        <f t="shared" ref="C178:I178" si="27">SUM(C176:C177)</f>
        <v>56741151.84888614</v>
      </c>
      <c r="D178" s="60">
        <f t="shared" si="27"/>
        <v>70037284.397678941</v>
      </c>
      <c r="E178" s="60">
        <f t="shared" si="27"/>
        <v>81923955.645652533</v>
      </c>
      <c r="F178" s="60">
        <f t="shared" si="27"/>
        <v>94824200.807429224</v>
      </c>
      <c r="G178" s="60">
        <f t="shared" si="27"/>
        <v>108809660.59626955</v>
      </c>
      <c r="H178" s="60">
        <f t="shared" si="27"/>
        <v>123956605.8619753</v>
      </c>
      <c r="I178" s="60">
        <f t="shared" si="27"/>
        <v>140346221.50276095</v>
      </c>
    </row>
    <row r="179" spans="2:13">
      <c r="B179" s="61" t="s">
        <v>342</v>
      </c>
      <c r="C179" s="239">
        <f t="shared" ref="C179:I179" si="28">+C174-C178</f>
        <v>4928538.4166234583</v>
      </c>
      <c r="D179" s="239">
        <f t="shared" si="28"/>
        <v>7034405.3341488242</v>
      </c>
      <c r="E179" s="239">
        <f t="shared" si="28"/>
        <v>8862323.3395057917</v>
      </c>
      <c r="F179" s="239">
        <f t="shared" si="28"/>
        <v>10855447.13206315</v>
      </c>
      <c r="G179" s="239">
        <f t="shared" si="28"/>
        <v>13025727.495527402</v>
      </c>
      <c r="H179" s="239">
        <f t="shared" si="28"/>
        <v>15385897.277507916</v>
      </c>
      <c r="I179" s="239">
        <f t="shared" si="28"/>
        <v>17949519.718947709</v>
      </c>
    </row>
    <row r="181" spans="2:13" ht="41.1" customHeight="1">
      <c r="B181" s="592" t="s">
        <v>522</v>
      </c>
      <c r="C181" s="592"/>
      <c r="D181" s="592"/>
      <c r="E181" s="592"/>
      <c r="F181" s="592"/>
      <c r="G181" s="592"/>
      <c r="H181" s="592"/>
      <c r="I181" s="592"/>
      <c r="J181" s="244"/>
      <c r="K181" s="244"/>
      <c r="L181" s="244"/>
      <c r="M181" s="244"/>
    </row>
  </sheetData>
  <mergeCells count="20">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43" orientation="portrait" r:id="rId2"/>
  <rowBreaks count="1" manualBreakCount="1">
    <brk id="103"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A11" zoomScale="80" zoomScaleNormal="100" zoomScaleSheetLayoutView="80" workbookViewId="0">
      <selection activeCell="G36" sqref="G36"/>
    </sheetView>
  </sheetViews>
  <sheetFormatPr defaultRowHeight="14.25"/>
  <cols>
    <col min="1" max="1" width="49.140625" style="263" bestFit="1" customWidth="1"/>
    <col min="2" max="2" width="23.28515625" style="263" bestFit="1" customWidth="1"/>
    <col min="3" max="3" width="11.5703125" style="263" customWidth="1"/>
    <col min="4" max="4" width="18.85546875" style="263" customWidth="1"/>
    <col min="5" max="5" width="15.140625" style="263" customWidth="1"/>
    <col min="6" max="7" width="15.85546875" style="263" customWidth="1"/>
    <col min="8" max="8" width="21.28515625" style="263" customWidth="1"/>
    <col min="9" max="9" width="11.42578125" style="263" bestFit="1" customWidth="1"/>
    <col min="10" max="10" width="9.140625" style="263" bestFit="1" customWidth="1"/>
    <col min="11" max="11" width="12.42578125" style="263" bestFit="1" customWidth="1"/>
    <col min="12" max="16384" width="9.140625" style="263"/>
  </cols>
  <sheetData>
    <row r="1" spans="1:26" ht="18">
      <c r="A1" s="601" t="s">
        <v>484</v>
      </c>
      <c r="B1" s="601"/>
      <c r="C1" s="601"/>
      <c r="D1" s="601"/>
      <c r="E1" s="601"/>
      <c r="F1" s="601"/>
      <c r="G1" s="601"/>
      <c r="H1" s="601"/>
    </row>
    <row r="2" spans="1:26">
      <c r="B2" s="325"/>
    </row>
    <row r="3" spans="1:26" ht="18">
      <c r="A3" s="602" t="s">
        <v>550</v>
      </c>
      <c r="B3" s="602"/>
    </row>
    <row r="4" spans="1:26">
      <c r="A4" s="326" t="s">
        <v>0</v>
      </c>
      <c r="B4" s="327" t="s">
        <v>370</v>
      </c>
      <c r="C4" s="328"/>
      <c r="D4" s="328"/>
      <c r="E4" s="328"/>
      <c r="F4" s="328"/>
      <c r="G4" s="328"/>
      <c r="H4" s="328"/>
    </row>
    <row r="5" spans="1:26">
      <c r="A5" s="329" t="s">
        <v>702</v>
      </c>
      <c r="B5" s="393">
        <v>730</v>
      </c>
      <c r="C5" s="330"/>
      <c r="D5" s="331"/>
      <c r="E5" s="331"/>
      <c r="F5" s="331"/>
      <c r="G5" s="331"/>
      <c r="H5" s="331"/>
    </row>
    <row r="6" spans="1:26">
      <c r="A6" s="329" t="s">
        <v>703</v>
      </c>
      <c r="B6" s="393">
        <v>100</v>
      </c>
      <c r="C6" s="330"/>
      <c r="D6" s="331"/>
      <c r="E6" s="331"/>
      <c r="F6" s="331"/>
      <c r="G6" s="331"/>
      <c r="H6" s="331"/>
    </row>
    <row r="7" spans="1:26">
      <c r="A7" s="332" t="s">
        <v>1</v>
      </c>
      <c r="B7" s="402">
        <f>B5+B6</f>
        <v>830</v>
      </c>
      <c r="C7" s="334"/>
      <c r="D7" s="335"/>
      <c r="E7" s="335"/>
      <c r="F7" s="335"/>
      <c r="G7" s="335"/>
      <c r="H7" s="335"/>
    </row>
    <row r="8" spans="1:26">
      <c r="A8" s="332" t="s">
        <v>478</v>
      </c>
      <c r="B8" s="439">
        <v>1</v>
      </c>
      <c r="C8" s="334"/>
      <c r="D8" s="334"/>
      <c r="E8" s="334"/>
      <c r="F8" s="489"/>
      <c r="G8" s="334"/>
      <c r="H8" s="334"/>
    </row>
    <row r="9" spans="1:26">
      <c r="A9" s="332" t="s">
        <v>483</v>
      </c>
      <c r="B9" s="402">
        <f>B7*B8</f>
        <v>830</v>
      </c>
      <c r="C9" s="335"/>
      <c r="D9" s="335"/>
      <c r="E9" s="335">
        <f>B9/2.5</f>
        <v>332</v>
      </c>
      <c r="F9" s="335"/>
      <c r="G9" s="335"/>
      <c r="H9" s="335"/>
    </row>
    <row r="10" spans="1:26">
      <c r="J10" s="263" t="s">
        <v>438</v>
      </c>
      <c r="O10" s="263" t="s">
        <v>434</v>
      </c>
      <c r="U10" s="263" t="s">
        <v>435</v>
      </c>
      <c r="Y10" s="263" t="s">
        <v>436</v>
      </c>
      <c r="Z10" s="263" t="s">
        <v>437</v>
      </c>
    </row>
    <row r="11" spans="1:26" ht="18">
      <c r="A11" s="601" t="s">
        <v>551</v>
      </c>
      <c r="B11" s="601"/>
      <c r="C11" s="601"/>
      <c r="D11" s="601"/>
      <c r="E11" s="601"/>
      <c r="F11" s="601"/>
      <c r="G11" s="601"/>
      <c r="H11" s="601"/>
      <c r="I11" s="336"/>
      <c r="J11" s="336"/>
      <c r="K11" s="336"/>
      <c r="L11" s="336"/>
      <c r="M11" s="336"/>
      <c r="N11" s="336"/>
      <c r="O11" s="336"/>
      <c r="P11" s="336"/>
    </row>
    <row r="12" spans="1:26">
      <c r="J12" s="337">
        <v>0.65</v>
      </c>
      <c r="K12" s="338">
        <f>J12+0.05</f>
        <v>0.70000000000000007</v>
      </c>
      <c r="L12" s="338">
        <f t="shared" ref="L12:N12" si="0">K12+0.05</f>
        <v>0.75000000000000011</v>
      </c>
      <c r="M12" s="338">
        <f t="shared" si="0"/>
        <v>0.80000000000000016</v>
      </c>
      <c r="N12" s="338">
        <f t="shared" si="0"/>
        <v>0.8500000000000002</v>
      </c>
      <c r="O12" s="337">
        <v>0.4</v>
      </c>
      <c r="P12" s="337">
        <f>O12+0.05</f>
        <v>0.45</v>
      </c>
      <c r="Q12" s="337">
        <f t="shared" ref="Q12:T12" si="1">P12+0.05</f>
        <v>0.5</v>
      </c>
      <c r="R12" s="337">
        <f t="shared" si="1"/>
        <v>0.55000000000000004</v>
      </c>
      <c r="S12" s="337">
        <f t="shared" si="1"/>
        <v>0.60000000000000009</v>
      </c>
      <c r="T12" s="337">
        <f t="shared" si="1"/>
        <v>0.65000000000000013</v>
      </c>
      <c r="U12" s="337">
        <v>0.1</v>
      </c>
      <c r="V12" s="339">
        <f>U12+0.05</f>
        <v>0.15000000000000002</v>
      </c>
      <c r="W12" s="339">
        <f t="shared" ref="W12:X12" si="2">V12+0.05</f>
        <v>0.2</v>
      </c>
      <c r="X12" s="339">
        <f t="shared" si="2"/>
        <v>0.25</v>
      </c>
    </row>
    <row r="13" spans="1:26" ht="42.75">
      <c r="A13" s="355" t="s">
        <v>374</v>
      </c>
      <c r="B13" s="355" t="s">
        <v>375</v>
      </c>
      <c r="C13" s="356" t="s">
        <v>430</v>
      </c>
      <c r="D13" s="356" t="s">
        <v>439</v>
      </c>
      <c r="E13" s="356" t="s">
        <v>440</v>
      </c>
      <c r="F13" s="356" t="s">
        <v>376</v>
      </c>
      <c r="G13" s="356" t="s">
        <v>431</v>
      </c>
      <c r="H13" s="356" t="s">
        <v>377</v>
      </c>
      <c r="O13" s="340" t="s">
        <v>2</v>
      </c>
      <c r="P13" s="340" t="s">
        <v>3</v>
      </c>
      <c r="Q13" s="340" t="s">
        <v>4</v>
      </c>
      <c r="R13" s="340" t="s">
        <v>5</v>
      </c>
      <c r="S13" s="340" t="s">
        <v>6</v>
      </c>
      <c r="T13" s="340" t="s">
        <v>2</v>
      </c>
      <c r="U13" s="340" t="s">
        <v>3</v>
      </c>
      <c r="V13" s="340" t="s">
        <v>4</v>
      </c>
      <c r="W13" s="340" t="s">
        <v>5</v>
      </c>
      <c r="X13" s="340" t="s">
        <v>6</v>
      </c>
    </row>
    <row r="14" spans="1:26">
      <c r="A14" s="606" t="s">
        <v>378</v>
      </c>
      <c r="B14" s="361" t="s">
        <v>780</v>
      </c>
      <c r="C14" s="364">
        <v>0.4</v>
      </c>
      <c r="D14" s="359">
        <f t="shared" ref="D14:D22" si="3">$B$9*C14</f>
        <v>332</v>
      </c>
      <c r="E14" s="365">
        <v>25</v>
      </c>
      <c r="F14" s="359">
        <f t="shared" ref="F14:F22" si="4">D14*E14</f>
        <v>8300</v>
      </c>
      <c r="G14" s="366">
        <v>0.1</v>
      </c>
      <c r="H14" s="359">
        <f>(F14-F14*G14)</f>
        <v>7470</v>
      </c>
      <c r="J14" s="263">
        <f>$D$14*J12</f>
        <v>215.8</v>
      </c>
      <c r="K14" s="263">
        <f>$D$14*K12</f>
        <v>232.40000000000003</v>
      </c>
      <c r="L14" s="263">
        <f>$D$14*L12</f>
        <v>249.00000000000003</v>
      </c>
      <c r="M14" s="263">
        <f>$D$14*M12</f>
        <v>265.60000000000008</v>
      </c>
      <c r="N14" s="263">
        <f>$D$14*N12</f>
        <v>282.20000000000005</v>
      </c>
    </row>
    <row r="15" spans="1:26">
      <c r="A15" s="607"/>
      <c r="B15" s="273" t="s">
        <v>460</v>
      </c>
      <c r="C15" s="341">
        <v>0</v>
      </c>
      <c r="D15" s="358">
        <f t="shared" si="3"/>
        <v>0</v>
      </c>
      <c r="E15" s="363"/>
      <c r="F15" s="358">
        <f t="shared" si="4"/>
        <v>0</v>
      </c>
      <c r="G15" s="367">
        <v>0</v>
      </c>
      <c r="H15" s="358">
        <f>(F15-F15*G15)</f>
        <v>0</v>
      </c>
    </row>
    <row r="16" spans="1:26">
      <c r="A16" s="607"/>
      <c r="B16" s="273" t="s">
        <v>459</v>
      </c>
      <c r="C16" s="341">
        <v>0</v>
      </c>
      <c r="D16" s="358">
        <f t="shared" si="3"/>
        <v>0</v>
      </c>
      <c r="E16" s="363"/>
      <c r="F16" s="358">
        <f t="shared" si="4"/>
        <v>0</v>
      </c>
      <c r="G16" s="367">
        <v>0</v>
      </c>
      <c r="H16" s="358">
        <f t="shared" ref="H16:H36" si="5">(F16-F16*G16)</f>
        <v>0</v>
      </c>
    </row>
    <row r="17" spans="1:13">
      <c r="A17" s="607"/>
      <c r="B17" s="273" t="s">
        <v>457</v>
      </c>
      <c r="C17" s="341">
        <v>0</v>
      </c>
      <c r="D17" s="358">
        <f t="shared" si="3"/>
        <v>0</v>
      </c>
      <c r="E17" s="363"/>
      <c r="F17" s="358">
        <f t="shared" si="4"/>
        <v>0</v>
      </c>
      <c r="G17" s="367">
        <v>0</v>
      </c>
      <c r="H17" s="358">
        <f t="shared" si="5"/>
        <v>0</v>
      </c>
    </row>
    <row r="18" spans="1:13">
      <c r="A18" s="607"/>
      <c r="B18" s="273" t="s">
        <v>706</v>
      </c>
      <c r="C18" s="341">
        <v>0</v>
      </c>
      <c r="D18" s="358">
        <f t="shared" si="3"/>
        <v>0</v>
      </c>
      <c r="E18" s="363"/>
      <c r="F18" s="358">
        <f t="shared" si="4"/>
        <v>0</v>
      </c>
      <c r="G18" s="367">
        <v>0</v>
      </c>
      <c r="H18" s="358">
        <f t="shared" si="5"/>
        <v>0</v>
      </c>
    </row>
    <row r="19" spans="1:13">
      <c r="A19" s="607"/>
      <c r="B19" s="273" t="s">
        <v>458</v>
      </c>
      <c r="C19" s="341">
        <v>0</v>
      </c>
      <c r="D19" s="358">
        <f t="shared" si="3"/>
        <v>0</v>
      </c>
      <c r="E19" s="363"/>
      <c r="F19" s="358">
        <f t="shared" si="4"/>
        <v>0</v>
      </c>
      <c r="G19" s="367">
        <v>0</v>
      </c>
      <c r="H19" s="358">
        <f t="shared" si="5"/>
        <v>0</v>
      </c>
      <c r="K19" s="263" t="s">
        <v>379</v>
      </c>
      <c r="L19" s="263" t="s">
        <v>434</v>
      </c>
    </row>
    <row r="20" spans="1:13">
      <c r="A20" s="607"/>
      <c r="B20" s="361" t="s">
        <v>781</v>
      </c>
      <c r="C20" s="364">
        <v>0.15</v>
      </c>
      <c r="D20" s="359">
        <f t="shared" si="3"/>
        <v>124.5</v>
      </c>
      <c r="E20" s="365">
        <v>20</v>
      </c>
      <c r="F20" s="359">
        <f t="shared" si="4"/>
        <v>2490</v>
      </c>
      <c r="G20" s="366">
        <v>0.1</v>
      </c>
      <c r="H20" s="359">
        <f t="shared" si="5"/>
        <v>2241</v>
      </c>
      <c r="L20" s="263" t="s">
        <v>434</v>
      </c>
      <c r="M20" s="263" t="s">
        <v>753</v>
      </c>
    </row>
    <row r="21" spans="1:13">
      <c r="A21" s="607"/>
      <c r="B21" s="273" t="s">
        <v>381</v>
      </c>
      <c r="C21" s="341">
        <v>0</v>
      </c>
      <c r="D21" s="358">
        <f t="shared" si="3"/>
        <v>0</v>
      </c>
      <c r="E21" s="363"/>
      <c r="F21" s="358">
        <f t="shared" si="4"/>
        <v>0</v>
      </c>
      <c r="G21" s="367">
        <v>0</v>
      </c>
      <c r="H21" s="358">
        <f t="shared" si="5"/>
        <v>0</v>
      </c>
      <c r="K21" s="263" t="s">
        <v>752</v>
      </c>
      <c r="L21" s="263">
        <v>90</v>
      </c>
      <c r="M21" s="263">
        <v>10</v>
      </c>
    </row>
    <row r="22" spans="1:13">
      <c r="A22" s="608"/>
      <c r="B22" s="273" t="s">
        <v>461</v>
      </c>
      <c r="C22" s="341">
        <v>0</v>
      </c>
      <c r="D22" s="358">
        <f t="shared" si="3"/>
        <v>0</v>
      </c>
      <c r="E22" s="363"/>
      <c r="F22" s="358">
        <f t="shared" si="4"/>
        <v>0</v>
      </c>
      <c r="G22" s="367">
        <v>0</v>
      </c>
      <c r="H22" s="358">
        <f t="shared" si="5"/>
        <v>0</v>
      </c>
      <c r="K22" s="263" t="s">
        <v>754</v>
      </c>
      <c r="L22" s="263">
        <v>90</v>
      </c>
      <c r="M22" s="263">
        <v>10</v>
      </c>
    </row>
    <row r="23" spans="1:13">
      <c r="A23" s="344" t="s">
        <v>463</v>
      </c>
      <c r="B23" s="354">
        <v>0.8</v>
      </c>
      <c r="C23" s="345">
        <f>B9*B23</f>
        <v>664</v>
      </c>
      <c r="D23" s="358"/>
      <c r="E23" s="363"/>
      <c r="F23" s="358"/>
      <c r="G23" s="367"/>
      <c r="H23" s="358"/>
    </row>
    <row r="24" spans="1:13">
      <c r="A24" s="622" t="s">
        <v>380</v>
      </c>
      <c r="B24" s="361" t="s">
        <v>782</v>
      </c>
      <c r="C24" s="364">
        <v>0.35</v>
      </c>
      <c r="D24" s="359">
        <f>C$23*C24</f>
        <v>232.39999999999998</v>
      </c>
      <c r="E24" s="365">
        <v>25</v>
      </c>
      <c r="F24" s="359">
        <f t="shared" ref="F24:F31" si="6">D24*E24</f>
        <v>5809.9999999999991</v>
      </c>
      <c r="G24" s="366">
        <v>0.1</v>
      </c>
      <c r="H24" s="359">
        <f t="shared" si="5"/>
        <v>5228.9999999999991</v>
      </c>
    </row>
    <row r="25" spans="1:13">
      <c r="A25" s="623"/>
      <c r="B25" s="361" t="s">
        <v>783</v>
      </c>
      <c r="C25" s="364">
        <v>0.3</v>
      </c>
      <c r="D25" s="359">
        <f>C$23*C25</f>
        <v>199.2</v>
      </c>
      <c r="E25" s="365">
        <v>10</v>
      </c>
      <c r="F25" s="359">
        <f t="shared" si="6"/>
        <v>1992</v>
      </c>
      <c r="G25" s="366">
        <v>0.1</v>
      </c>
      <c r="H25" s="359">
        <f t="shared" si="5"/>
        <v>1792.8</v>
      </c>
    </row>
    <row r="26" spans="1:13">
      <c r="A26" s="623"/>
      <c r="B26" s="361" t="s">
        <v>784</v>
      </c>
      <c r="C26" s="364">
        <v>0.3</v>
      </c>
      <c r="D26" s="359">
        <f>C$23*C26</f>
        <v>199.2</v>
      </c>
      <c r="E26" s="365">
        <v>20</v>
      </c>
      <c r="F26" s="359">
        <f t="shared" si="6"/>
        <v>3984</v>
      </c>
      <c r="G26" s="366">
        <v>0.1</v>
      </c>
      <c r="H26" s="359">
        <f t="shared" si="5"/>
        <v>3585.6</v>
      </c>
      <c r="K26" s="519">
        <v>32607</v>
      </c>
    </row>
    <row r="27" spans="1:13">
      <c r="A27" s="623"/>
      <c r="B27" s="273"/>
      <c r="C27" s="341">
        <v>0</v>
      </c>
      <c r="D27" s="358">
        <f t="shared" ref="D27:D31" si="7">C$23*C27</f>
        <v>0</v>
      </c>
      <c r="E27" s="363"/>
      <c r="F27" s="358">
        <f t="shared" si="6"/>
        <v>0</v>
      </c>
      <c r="G27" s="367">
        <v>0</v>
      </c>
      <c r="H27" s="358">
        <f t="shared" si="5"/>
        <v>0</v>
      </c>
      <c r="K27" s="519">
        <f>K26*90%</f>
        <v>29346.3</v>
      </c>
    </row>
    <row r="28" spans="1:13">
      <c r="A28" s="623"/>
      <c r="B28" s="273"/>
      <c r="C28" s="341">
        <v>0</v>
      </c>
      <c r="D28" s="358">
        <f t="shared" si="7"/>
        <v>0</v>
      </c>
      <c r="E28" s="363"/>
      <c r="F28" s="358">
        <f t="shared" si="6"/>
        <v>0</v>
      </c>
      <c r="G28" s="367">
        <v>0</v>
      </c>
      <c r="H28" s="358">
        <f t="shared" si="5"/>
        <v>0</v>
      </c>
      <c r="K28" s="519">
        <f>K26-K27</f>
        <v>3260.7000000000007</v>
      </c>
    </row>
    <row r="29" spans="1:13">
      <c r="A29" s="623"/>
      <c r="B29" s="273"/>
      <c r="C29" s="341">
        <v>0</v>
      </c>
      <c r="D29" s="358">
        <f t="shared" si="7"/>
        <v>0</v>
      </c>
      <c r="E29" s="363"/>
      <c r="F29" s="358">
        <f t="shared" si="6"/>
        <v>0</v>
      </c>
      <c r="G29" s="367">
        <v>0</v>
      </c>
      <c r="H29" s="358">
        <f t="shared" si="5"/>
        <v>0</v>
      </c>
    </row>
    <row r="30" spans="1:13">
      <c r="A30" s="623"/>
      <c r="B30" s="273"/>
      <c r="C30" s="341">
        <v>0</v>
      </c>
      <c r="D30" s="358">
        <f t="shared" si="7"/>
        <v>0</v>
      </c>
      <c r="E30" s="363"/>
      <c r="F30" s="358">
        <f t="shared" si="6"/>
        <v>0</v>
      </c>
      <c r="G30" s="367">
        <v>0</v>
      </c>
      <c r="H30" s="358">
        <f t="shared" si="5"/>
        <v>0</v>
      </c>
    </row>
    <row r="31" spans="1:13">
      <c r="A31" s="624"/>
      <c r="B31" s="273"/>
      <c r="C31" s="341">
        <v>0</v>
      </c>
      <c r="D31" s="358">
        <f t="shared" si="7"/>
        <v>0</v>
      </c>
      <c r="E31" s="363"/>
      <c r="F31" s="358">
        <f t="shared" si="6"/>
        <v>0</v>
      </c>
      <c r="G31" s="367">
        <v>0</v>
      </c>
      <c r="H31" s="358">
        <f t="shared" si="5"/>
        <v>0</v>
      </c>
    </row>
    <row r="32" spans="1:13">
      <c r="A32" s="344" t="s">
        <v>462</v>
      </c>
      <c r="B32" s="354">
        <v>0.6</v>
      </c>
      <c r="C32" s="280">
        <f>B9*B32</f>
        <v>498</v>
      </c>
      <c r="D32" s="358"/>
      <c r="E32" s="363"/>
      <c r="F32" s="358"/>
      <c r="G32" s="367"/>
      <c r="H32" s="358"/>
    </row>
    <row r="33" spans="1:10">
      <c r="A33" s="346" t="s">
        <v>444</v>
      </c>
      <c r="B33" s="361" t="s">
        <v>785</v>
      </c>
      <c r="C33" s="364">
        <v>0.4</v>
      </c>
      <c r="D33" s="359">
        <f>C$32*C33</f>
        <v>199.20000000000002</v>
      </c>
      <c r="E33" s="365">
        <v>25</v>
      </c>
      <c r="F33" s="359">
        <f>D33*E33</f>
        <v>4980</v>
      </c>
      <c r="G33" s="366">
        <v>0.1</v>
      </c>
      <c r="H33" s="359">
        <f t="shared" si="5"/>
        <v>4482</v>
      </c>
    </row>
    <row r="34" spans="1:10">
      <c r="A34" s="347"/>
      <c r="B34" s="361" t="s">
        <v>786</v>
      </c>
      <c r="C34" s="364">
        <v>0.45</v>
      </c>
      <c r="D34" s="359">
        <f>C$32*C34</f>
        <v>224.1</v>
      </c>
      <c r="E34" s="365">
        <v>19</v>
      </c>
      <c r="F34" s="359">
        <f>D34*E34</f>
        <v>4257.8999999999996</v>
      </c>
      <c r="G34" s="366">
        <v>0.1</v>
      </c>
      <c r="H34" s="359">
        <f t="shared" si="5"/>
        <v>3832.1099999999997</v>
      </c>
    </row>
    <row r="35" spans="1:10">
      <c r="A35" s="347"/>
      <c r="B35" s="273"/>
      <c r="C35" s="341">
        <v>0</v>
      </c>
      <c r="D35" s="358">
        <f>C$32*C35</f>
        <v>0</v>
      </c>
      <c r="E35" s="363"/>
      <c r="F35" s="358">
        <f>D35*E35</f>
        <v>0</v>
      </c>
      <c r="G35" s="367">
        <v>0</v>
      </c>
      <c r="H35" s="358">
        <f t="shared" si="5"/>
        <v>0</v>
      </c>
    </row>
    <row r="36" spans="1:10">
      <c r="A36" s="348"/>
      <c r="B36" s="273"/>
      <c r="C36" s="341">
        <v>0</v>
      </c>
      <c r="D36" s="358">
        <f>C$32*C36</f>
        <v>0</v>
      </c>
      <c r="E36" s="363"/>
      <c r="F36" s="358">
        <f>D36*E36</f>
        <v>0</v>
      </c>
      <c r="G36" s="367">
        <v>0</v>
      </c>
      <c r="H36" s="358">
        <f t="shared" si="5"/>
        <v>0</v>
      </c>
    </row>
    <row r="37" spans="1:10">
      <c r="A37" s="605" t="s">
        <v>382</v>
      </c>
      <c r="B37" s="605"/>
      <c r="C37" s="605"/>
      <c r="D37" s="605"/>
      <c r="E37" s="605"/>
      <c r="F37" s="605"/>
      <c r="G37" s="605"/>
      <c r="H37" s="605"/>
    </row>
    <row r="39" spans="1:10" ht="18">
      <c r="A39" s="609" t="s">
        <v>552</v>
      </c>
      <c r="B39" s="610"/>
      <c r="C39" s="610"/>
      <c r="D39" s="610"/>
      <c r="E39" s="610"/>
      <c r="F39" s="610"/>
      <c r="G39" s="610"/>
      <c r="H39" s="611"/>
    </row>
    <row r="40" spans="1:10">
      <c r="A40" s="612" t="s">
        <v>0</v>
      </c>
      <c r="B40" s="351">
        <v>0.95</v>
      </c>
      <c r="C40" s="351">
        <f>B40+0.05</f>
        <v>1</v>
      </c>
      <c r="D40" s="351">
        <f t="shared" ref="D40:G40" si="8">C40+0.05</f>
        <v>1.05</v>
      </c>
      <c r="E40" s="351">
        <f t="shared" si="8"/>
        <v>1.1000000000000001</v>
      </c>
      <c r="F40" s="351">
        <f t="shared" si="8"/>
        <v>1.1500000000000001</v>
      </c>
      <c r="G40" s="351">
        <f t="shared" si="8"/>
        <v>1.2000000000000002</v>
      </c>
      <c r="H40" s="351">
        <f>G40+0.05</f>
        <v>1.2500000000000002</v>
      </c>
      <c r="J40" s="433"/>
    </row>
    <row r="41" spans="1:10">
      <c r="A41" s="613"/>
      <c r="B41" s="327" t="s">
        <v>2</v>
      </c>
      <c r="C41" s="327" t="s">
        <v>3</v>
      </c>
      <c r="D41" s="327" t="s">
        <v>4</v>
      </c>
      <c r="E41" s="327" t="s">
        <v>5</v>
      </c>
      <c r="F41" s="327" t="s">
        <v>6</v>
      </c>
      <c r="G41" s="327" t="s">
        <v>166</v>
      </c>
      <c r="H41" s="327" t="s">
        <v>165</v>
      </c>
    </row>
    <row r="42" spans="1:10">
      <c r="A42" s="298" t="str">
        <f t="shared" ref="A42:A50" si="9">B14</f>
        <v>Maize (Kharif)</v>
      </c>
      <c r="B42" s="359">
        <f>H14*$B$40</f>
        <v>7096.5</v>
      </c>
      <c r="C42" s="359">
        <f t="shared" ref="C42:C62" si="10">IFERROR((B42/B$40)*C$40,0)</f>
        <v>7470</v>
      </c>
      <c r="D42" s="359">
        <f t="shared" ref="D42:H51" si="11">(C42/C$40)*D$40</f>
        <v>7843.5</v>
      </c>
      <c r="E42" s="359">
        <f t="shared" si="11"/>
        <v>8217</v>
      </c>
      <c r="F42" s="359">
        <f t="shared" si="11"/>
        <v>8590.5</v>
      </c>
      <c r="G42" s="359">
        <f t="shared" si="11"/>
        <v>8964</v>
      </c>
      <c r="H42" s="359">
        <f t="shared" si="11"/>
        <v>9337.5</v>
      </c>
      <c r="I42" s="350"/>
      <c r="J42" s="350"/>
    </row>
    <row r="43" spans="1:10">
      <c r="A43" s="329" t="str">
        <f t="shared" si="9"/>
        <v>Red Gram/Tur</v>
      </c>
      <c r="B43" s="359">
        <f t="shared" ref="B43:B50" si="12">H15*$B$40</f>
        <v>0</v>
      </c>
      <c r="C43" s="359">
        <f t="shared" si="10"/>
        <v>0</v>
      </c>
      <c r="D43" s="359">
        <f t="shared" si="11"/>
        <v>0</v>
      </c>
      <c r="E43" s="359">
        <f t="shared" si="11"/>
        <v>0</v>
      </c>
      <c r="F43" s="359">
        <f t="shared" si="11"/>
        <v>0</v>
      </c>
      <c r="G43" s="359">
        <f t="shared" si="11"/>
        <v>0</v>
      </c>
      <c r="H43" s="359">
        <f t="shared" si="11"/>
        <v>0</v>
      </c>
    </row>
    <row r="44" spans="1:10">
      <c r="A44" s="329" t="str">
        <f t="shared" si="9"/>
        <v>Paddy/Rice</v>
      </c>
      <c r="B44" s="359">
        <f t="shared" si="12"/>
        <v>0</v>
      </c>
      <c r="C44" s="359">
        <f t="shared" si="10"/>
        <v>0</v>
      </c>
      <c r="D44" s="359">
        <f t="shared" si="11"/>
        <v>0</v>
      </c>
      <c r="E44" s="359">
        <f t="shared" si="11"/>
        <v>0</v>
      </c>
      <c r="F44" s="359">
        <f t="shared" si="11"/>
        <v>0</v>
      </c>
      <c r="G44" s="359">
        <f t="shared" si="11"/>
        <v>0</v>
      </c>
      <c r="H44" s="359">
        <f t="shared" si="11"/>
        <v>0</v>
      </c>
    </row>
    <row r="45" spans="1:10">
      <c r="A45" s="329" t="str">
        <f t="shared" si="9"/>
        <v>Green Gram/ Moong</v>
      </c>
      <c r="B45" s="359">
        <f t="shared" si="12"/>
        <v>0</v>
      </c>
      <c r="C45" s="359">
        <f t="shared" si="10"/>
        <v>0</v>
      </c>
      <c r="D45" s="359">
        <f t="shared" si="11"/>
        <v>0</v>
      </c>
      <c r="E45" s="359">
        <f t="shared" si="11"/>
        <v>0</v>
      </c>
      <c r="F45" s="359">
        <f t="shared" si="11"/>
        <v>0</v>
      </c>
      <c r="G45" s="359">
        <f t="shared" si="11"/>
        <v>0</v>
      </c>
      <c r="H45" s="359">
        <f t="shared" si="11"/>
        <v>0</v>
      </c>
    </row>
    <row r="46" spans="1:10">
      <c r="A46" s="329" t="str">
        <f t="shared" si="9"/>
        <v>Soyabean</v>
      </c>
      <c r="B46" s="359">
        <f t="shared" si="12"/>
        <v>0</v>
      </c>
      <c r="C46" s="359">
        <f t="shared" si="10"/>
        <v>0</v>
      </c>
      <c r="D46" s="359">
        <f t="shared" si="11"/>
        <v>0</v>
      </c>
      <c r="E46" s="359">
        <f t="shared" si="11"/>
        <v>0</v>
      </c>
      <c r="F46" s="359">
        <f t="shared" si="11"/>
        <v>0</v>
      </c>
      <c r="G46" s="359">
        <f t="shared" si="11"/>
        <v>0</v>
      </c>
      <c r="H46" s="359">
        <f t="shared" si="11"/>
        <v>0</v>
      </c>
    </row>
    <row r="47" spans="1:10">
      <c r="A47" s="329" t="str">
        <f t="shared" si="9"/>
        <v>Black Gram/Udid</v>
      </c>
      <c r="B47" s="359">
        <f t="shared" si="12"/>
        <v>0</v>
      </c>
      <c r="C47" s="359">
        <f t="shared" si="10"/>
        <v>0</v>
      </c>
      <c r="D47" s="359">
        <f t="shared" si="11"/>
        <v>0</v>
      </c>
      <c r="E47" s="359">
        <f t="shared" si="11"/>
        <v>0</v>
      </c>
      <c r="F47" s="359">
        <f t="shared" si="11"/>
        <v>0</v>
      </c>
      <c r="G47" s="359">
        <f t="shared" si="11"/>
        <v>0</v>
      </c>
      <c r="H47" s="359">
        <f t="shared" si="11"/>
        <v>0</v>
      </c>
    </row>
    <row r="48" spans="1:10">
      <c r="A48" s="298" t="str">
        <f t="shared" si="9"/>
        <v>Bajra (Kharif)</v>
      </c>
      <c r="B48" s="359">
        <f t="shared" si="12"/>
        <v>2128.9499999999998</v>
      </c>
      <c r="C48" s="359">
        <f t="shared" si="10"/>
        <v>2241</v>
      </c>
      <c r="D48" s="359">
        <f t="shared" si="11"/>
        <v>2353.0500000000002</v>
      </c>
      <c r="E48" s="359">
        <f t="shared" si="11"/>
        <v>2465.1000000000004</v>
      </c>
      <c r="F48" s="359">
        <f t="shared" si="11"/>
        <v>2577.15</v>
      </c>
      <c r="G48" s="359">
        <f t="shared" si="11"/>
        <v>2689.2000000000003</v>
      </c>
      <c r="H48" s="359">
        <f t="shared" si="11"/>
        <v>2801.2500000000005</v>
      </c>
    </row>
    <row r="49" spans="1:8">
      <c r="A49" s="329" t="str">
        <f t="shared" si="9"/>
        <v>Jawar</v>
      </c>
      <c r="B49" s="359">
        <f t="shared" si="12"/>
        <v>0</v>
      </c>
      <c r="C49" s="359">
        <f t="shared" si="10"/>
        <v>0</v>
      </c>
      <c r="D49" s="359">
        <f t="shared" si="11"/>
        <v>0</v>
      </c>
      <c r="E49" s="359">
        <f t="shared" si="11"/>
        <v>0</v>
      </c>
      <c r="F49" s="359">
        <f t="shared" si="11"/>
        <v>0</v>
      </c>
      <c r="G49" s="359">
        <f t="shared" si="11"/>
        <v>0</v>
      </c>
      <c r="H49" s="359">
        <f t="shared" si="11"/>
        <v>0</v>
      </c>
    </row>
    <row r="50" spans="1:8">
      <c r="A50" s="329" t="str">
        <f t="shared" si="9"/>
        <v>Sunflower</v>
      </c>
      <c r="B50" s="359">
        <f t="shared" si="12"/>
        <v>0</v>
      </c>
      <c r="C50" s="359">
        <f t="shared" si="10"/>
        <v>0</v>
      </c>
      <c r="D50" s="359">
        <f t="shared" si="11"/>
        <v>0</v>
      </c>
      <c r="E50" s="359">
        <f t="shared" si="11"/>
        <v>0</v>
      </c>
      <c r="F50" s="359">
        <f t="shared" si="11"/>
        <v>0</v>
      </c>
      <c r="G50" s="359">
        <f t="shared" si="11"/>
        <v>0</v>
      </c>
      <c r="H50" s="359">
        <f t="shared" si="11"/>
        <v>0</v>
      </c>
    </row>
    <row r="51" spans="1:8">
      <c r="A51" s="298" t="str">
        <f t="shared" ref="A51:A58" si="13">B24</f>
        <v>Maize (Rabbi)</v>
      </c>
      <c r="B51" s="359">
        <f t="shared" ref="B51:B58" si="14">H24*$B$40</f>
        <v>4967.5499999999993</v>
      </c>
      <c r="C51" s="359">
        <f t="shared" si="10"/>
        <v>5228.9999999999991</v>
      </c>
      <c r="D51" s="359">
        <f t="shared" si="11"/>
        <v>5490.4499999999989</v>
      </c>
      <c r="E51" s="359">
        <f t="shared" si="11"/>
        <v>5751.9</v>
      </c>
      <c r="F51" s="359">
        <f t="shared" si="11"/>
        <v>6013.3499999999995</v>
      </c>
      <c r="G51" s="359">
        <f t="shared" si="11"/>
        <v>6274.8</v>
      </c>
      <c r="H51" s="359">
        <f t="shared" si="11"/>
        <v>6536.25</v>
      </c>
    </row>
    <row r="52" spans="1:8">
      <c r="A52" s="298" t="str">
        <f t="shared" si="13"/>
        <v>Gram (Rabbi)</v>
      </c>
      <c r="B52" s="359">
        <f t="shared" si="14"/>
        <v>1703.1599999999999</v>
      </c>
      <c r="C52" s="359">
        <f t="shared" si="10"/>
        <v>1792.8</v>
      </c>
      <c r="D52" s="359">
        <f t="shared" ref="D52:H61" si="15">(C52/C$40)*D$40</f>
        <v>1882.44</v>
      </c>
      <c r="E52" s="359">
        <f t="shared" si="15"/>
        <v>1972.0800000000002</v>
      </c>
      <c r="F52" s="359">
        <f t="shared" si="15"/>
        <v>2061.7200000000003</v>
      </c>
      <c r="G52" s="359">
        <f t="shared" si="15"/>
        <v>2151.36</v>
      </c>
      <c r="H52" s="359">
        <f t="shared" si="15"/>
        <v>2241</v>
      </c>
    </row>
    <row r="53" spans="1:8">
      <c r="A53" s="298" t="str">
        <f t="shared" si="13"/>
        <v>Wheat (Rabbi)</v>
      </c>
      <c r="B53" s="359">
        <f t="shared" si="14"/>
        <v>3406.3199999999997</v>
      </c>
      <c r="C53" s="359">
        <f t="shared" si="10"/>
        <v>3585.6</v>
      </c>
      <c r="D53" s="359">
        <f t="shared" si="15"/>
        <v>3764.88</v>
      </c>
      <c r="E53" s="359">
        <f t="shared" si="15"/>
        <v>3944.1600000000003</v>
      </c>
      <c r="F53" s="359">
        <f t="shared" si="15"/>
        <v>4123.4400000000005</v>
      </c>
      <c r="G53" s="359">
        <f t="shared" si="15"/>
        <v>4302.72</v>
      </c>
      <c r="H53" s="359">
        <f t="shared" si="15"/>
        <v>4482</v>
      </c>
    </row>
    <row r="54" spans="1:8">
      <c r="A54" s="329">
        <f t="shared" si="13"/>
        <v>0</v>
      </c>
      <c r="B54" s="359">
        <f t="shared" si="14"/>
        <v>0</v>
      </c>
      <c r="C54" s="359">
        <f t="shared" si="10"/>
        <v>0</v>
      </c>
      <c r="D54" s="359">
        <f t="shared" si="15"/>
        <v>0</v>
      </c>
      <c r="E54" s="359">
        <f t="shared" si="15"/>
        <v>0</v>
      </c>
      <c r="F54" s="359">
        <f t="shared" si="15"/>
        <v>0</v>
      </c>
      <c r="G54" s="359">
        <f t="shared" si="15"/>
        <v>0</v>
      </c>
      <c r="H54" s="359">
        <f t="shared" si="15"/>
        <v>0</v>
      </c>
    </row>
    <row r="55" spans="1:8">
      <c r="A55" s="329">
        <f t="shared" si="13"/>
        <v>0</v>
      </c>
      <c r="B55" s="359">
        <f t="shared" si="14"/>
        <v>0</v>
      </c>
      <c r="C55" s="359">
        <f t="shared" si="10"/>
        <v>0</v>
      </c>
      <c r="D55" s="359">
        <f t="shared" si="15"/>
        <v>0</v>
      </c>
      <c r="E55" s="359">
        <f t="shared" si="15"/>
        <v>0</v>
      </c>
      <c r="F55" s="359">
        <f t="shared" si="15"/>
        <v>0</v>
      </c>
      <c r="G55" s="359">
        <f t="shared" si="15"/>
        <v>0</v>
      </c>
      <c r="H55" s="359">
        <f t="shared" si="15"/>
        <v>0</v>
      </c>
    </row>
    <row r="56" spans="1:8">
      <c r="A56" s="357">
        <f t="shared" si="13"/>
        <v>0</v>
      </c>
      <c r="B56" s="359">
        <f t="shared" si="14"/>
        <v>0</v>
      </c>
      <c r="C56" s="359">
        <f t="shared" si="10"/>
        <v>0</v>
      </c>
      <c r="D56" s="359">
        <f t="shared" si="15"/>
        <v>0</v>
      </c>
      <c r="E56" s="359">
        <f t="shared" si="15"/>
        <v>0</v>
      </c>
      <c r="F56" s="359">
        <f t="shared" si="15"/>
        <v>0</v>
      </c>
      <c r="G56" s="359">
        <f t="shared" si="15"/>
        <v>0</v>
      </c>
      <c r="H56" s="359">
        <f t="shared" si="15"/>
        <v>0</v>
      </c>
    </row>
    <row r="57" spans="1:8">
      <c r="A57" s="357">
        <f t="shared" si="13"/>
        <v>0</v>
      </c>
      <c r="B57" s="359">
        <f t="shared" si="14"/>
        <v>0</v>
      </c>
      <c r="C57" s="359">
        <f t="shared" si="10"/>
        <v>0</v>
      </c>
      <c r="D57" s="359">
        <f t="shared" si="15"/>
        <v>0</v>
      </c>
      <c r="E57" s="359">
        <f t="shared" si="15"/>
        <v>0</v>
      </c>
      <c r="F57" s="359">
        <f t="shared" si="15"/>
        <v>0</v>
      </c>
      <c r="G57" s="359">
        <f t="shared" si="15"/>
        <v>0</v>
      </c>
      <c r="H57" s="359">
        <f t="shared" si="15"/>
        <v>0</v>
      </c>
    </row>
    <row r="58" spans="1:8">
      <c r="A58" s="357">
        <f t="shared" si="13"/>
        <v>0</v>
      </c>
      <c r="B58" s="359">
        <f t="shared" si="14"/>
        <v>0</v>
      </c>
      <c r="C58" s="359">
        <f t="shared" si="10"/>
        <v>0</v>
      </c>
      <c r="D58" s="359">
        <f t="shared" si="15"/>
        <v>0</v>
      </c>
      <c r="E58" s="359">
        <f t="shared" si="15"/>
        <v>0</v>
      </c>
      <c r="F58" s="359">
        <f t="shared" si="15"/>
        <v>0</v>
      </c>
      <c r="G58" s="359">
        <f t="shared" si="15"/>
        <v>0</v>
      </c>
      <c r="H58" s="359">
        <f t="shared" si="15"/>
        <v>0</v>
      </c>
    </row>
    <row r="59" spans="1:8">
      <c r="A59" s="298" t="str">
        <f>B33</f>
        <v>Maize (Summer)</v>
      </c>
      <c r="B59" s="359">
        <f>H33*$B$40</f>
        <v>4257.8999999999996</v>
      </c>
      <c r="C59" s="359">
        <f t="shared" si="10"/>
        <v>4482</v>
      </c>
      <c r="D59" s="359">
        <f t="shared" si="15"/>
        <v>4706.1000000000004</v>
      </c>
      <c r="E59" s="359">
        <f t="shared" si="15"/>
        <v>4930.2000000000007</v>
      </c>
      <c r="F59" s="359">
        <f t="shared" si="15"/>
        <v>5154.3</v>
      </c>
      <c r="G59" s="359">
        <f t="shared" si="15"/>
        <v>5378.4000000000005</v>
      </c>
      <c r="H59" s="359">
        <f t="shared" si="15"/>
        <v>5602.5000000000009</v>
      </c>
    </row>
    <row r="60" spans="1:8">
      <c r="A60" s="298" t="str">
        <f>B34</f>
        <v>Jawar (Summer)</v>
      </c>
      <c r="B60" s="359">
        <f>H34*$B$40</f>
        <v>3640.5044999999996</v>
      </c>
      <c r="C60" s="359">
        <f t="shared" si="10"/>
        <v>3832.1099999999997</v>
      </c>
      <c r="D60" s="359">
        <f t="shared" si="15"/>
        <v>4023.7154999999998</v>
      </c>
      <c r="E60" s="359">
        <f t="shared" si="15"/>
        <v>4215.3209999999999</v>
      </c>
      <c r="F60" s="359">
        <f t="shared" si="15"/>
        <v>4406.9265000000005</v>
      </c>
      <c r="G60" s="359">
        <f t="shared" si="15"/>
        <v>4598.5320000000011</v>
      </c>
      <c r="H60" s="359">
        <f t="shared" si="15"/>
        <v>4790.1375000000007</v>
      </c>
    </row>
    <row r="61" spans="1:8">
      <c r="A61" s="357">
        <f>B35</f>
        <v>0</v>
      </c>
      <c r="B61" s="359">
        <f>H35*$B$40</f>
        <v>0</v>
      </c>
      <c r="C61" s="359">
        <f t="shared" si="10"/>
        <v>0</v>
      </c>
      <c r="D61" s="359">
        <f t="shared" si="15"/>
        <v>0</v>
      </c>
      <c r="E61" s="359">
        <f t="shared" si="15"/>
        <v>0</v>
      </c>
      <c r="F61" s="359">
        <f t="shared" si="15"/>
        <v>0</v>
      </c>
      <c r="G61" s="359">
        <f t="shared" si="15"/>
        <v>0</v>
      </c>
      <c r="H61" s="359">
        <f t="shared" si="15"/>
        <v>0</v>
      </c>
    </row>
    <row r="62" spans="1:8">
      <c r="A62" s="357">
        <f>B36</f>
        <v>0</v>
      </c>
      <c r="B62" s="359">
        <f>H36*$B$40</f>
        <v>0</v>
      </c>
      <c r="C62" s="359">
        <f t="shared" si="10"/>
        <v>0</v>
      </c>
      <c r="D62" s="359">
        <f t="shared" ref="D62:H62" si="16">(C62/C$40)*D$40</f>
        <v>0</v>
      </c>
      <c r="E62" s="359">
        <f t="shared" si="16"/>
        <v>0</v>
      </c>
      <c r="F62" s="359">
        <f t="shared" si="16"/>
        <v>0</v>
      </c>
      <c r="G62" s="359">
        <f t="shared" si="16"/>
        <v>0</v>
      </c>
      <c r="H62" s="359">
        <f t="shared" si="16"/>
        <v>0</v>
      </c>
    </row>
    <row r="63" spans="1:8">
      <c r="B63" s="360"/>
      <c r="C63" s="360"/>
      <c r="D63" s="360"/>
      <c r="E63" s="360"/>
      <c r="F63" s="360"/>
      <c r="G63" s="360"/>
      <c r="H63" s="360"/>
    </row>
    <row r="64" spans="1:8" ht="18">
      <c r="A64" s="614" t="s">
        <v>553</v>
      </c>
      <c r="B64" s="615"/>
      <c r="C64" s="615"/>
      <c r="D64" s="615"/>
      <c r="E64" s="615"/>
      <c r="F64" s="615"/>
      <c r="G64" s="615"/>
      <c r="H64" s="616"/>
    </row>
    <row r="65" spans="1:11">
      <c r="A65" s="617" t="s">
        <v>0</v>
      </c>
      <c r="B65" s="351">
        <v>0.05</v>
      </c>
      <c r="C65" s="351">
        <f>B65+0.05</f>
        <v>0.1</v>
      </c>
      <c r="D65" s="351">
        <f t="shared" ref="D65:G65" si="17">C65+0.05</f>
        <v>0.15000000000000002</v>
      </c>
      <c r="E65" s="351">
        <f t="shared" si="17"/>
        <v>0.2</v>
      </c>
      <c r="F65" s="351">
        <f t="shared" si="17"/>
        <v>0.25</v>
      </c>
      <c r="G65" s="351">
        <f t="shared" si="17"/>
        <v>0.3</v>
      </c>
      <c r="H65" s="351">
        <f>G65+0.05</f>
        <v>0.35</v>
      </c>
      <c r="K65" s="433"/>
    </row>
    <row r="66" spans="1:11">
      <c r="A66" s="618"/>
      <c r="B66" s="327" t="s">
        <v>2</v>
      </c>
      <c r="C66" s="327" t="s">
        <v>3</v>
      </c>
      <c r="D66" s="327" t="s">
        <v>4</v>
      </c>
      <c r="E66" s="327" t="s">
        <v>5</v>
      </c>
      <c r="F66" s="327" t="s">
        <v>6</v>
      </c>
      <c r="G66" s="327" t="s">
        <v>166</v>
      </c>
      <c r="H66" s="327" t="s">
        <v>165</v>
      </c>
    </row>
    <row r="67" spans="1:11" s="352" customFormat="1">
      <c r="A67" s="361" t="str">
        <f t="shared" ref="A67:A87" si="18">A42</f>
        <v>Maize (Kharif)</v>
      </c>
      <c r="B67" s="359">
        <f t="shared" ref="B67:B75" si="19">H14*$B$65</f>
        <v>373.5</v>
      </c>
      <c r="C67" s="359">
        <f>(B67/B$65)*C$65</f>
        <v>747</v>
      </c>
      <c r="D67" s="359">
        <f t="shared" ref="D67:H68" si="20">(C67/C$65)*D$65</f>
        <v>1120.5000000000002</v>
      </c>
      <c r="E67" s="359">
        <f t="shared" si="20"/>
        <v>1494</v>
      </c>
      <c r="F67" s="359">
        <f t="shared" si="20"/>
        <v>1867.5</v>
      </c>
      <c r="G67" s="359">
        <f t="shared" si="20"/>
        <v>2241</v>
      </c>
      <c r="H67" s="359">
        <f t="shared" si="20"/>
        <v>2614.5</v>
      </c>
    </row>
    <row r="68" spans="1:11">
      <c r="A68" s="329" t="str">
        <f t="shared" si="18"/>
        <v>Red Gram/Tur</v>
      </c>
      <c r="B68" s="358">
        <f t="shared" si="19"/>
        <v>0</v>
      </c>
      <c r="C68" s="358">
        <f>(B68/B$65)*C$65</f>
        <v>0</v>
      </c>
      <c r="D68" s="358">
        <f t="shared" si="20"/>
        <v>0</v>
      </c>
      <c r="E68" s="358">
        <f t="shared" si="20"/>
        <v>0</v>
      </c>
      <c r="F68" s="358">
        <f t="shared" si="20"/>
        <v>0</v>
      </c>
      <c r="G68" s="358">
        <f t="shared" si="20"/>
        <v>0</v>
      </c>
      <c r="H68" s="358">
        <f t="shared" si="20"/>
        <v>0</v>
      </c>
    </row>
    <row r="69" spans="1:11">
      <c r="A69" s="329" t="str">
        <f t="shared" si="18"/>
        <v>Paddy/Rice</v>
      </c>
      <c r="B69" s="358">
        <f t="shared" si="19"/>
        <v>0</v>
      </c>
      <c r="C69" s="358">
        <f t="shared" ref="C69:H69" si="21">(B69/B$65)*C$65</f>
        <v>0</v>
      </c>
      <c r="D69" s="358">
        <f t="shared" si="21"/>
        <v>0</v>
      </c>
      <c r="E69" s="358">
        <f t="shared" si="21"/>
        <v>0</v>
      </c>
      <c r="F69" s="358">
        <f t="shared" si="21"/>
        <v>0</v>
      </c>
      <c r="G69" s="358">
        <f t="shared" si="21"/>
        <v>0</v>
      </c>
      <c r="H69" s="358">
        <f t="shared" si="21"/>
        <v>0</v>
      </c>
    </row>
    <row r="70" spans="1:11">
      <c r="A70" s="329" t="str">
        <f t="shared" si="18"/>
        <v>Green Gram/ Moong</v>
      </c>
      <c r="B70" s="358">
        <f t="shared" si="19"/>
        <v>0</v>
      </c>
      <c r="C70" s="358">
        <f t="shared" ref="C70:H70" si="22">(B70/B$65)*C$65</f>
        <v>0</v>
      </c>
      <c r="D70" s="358">
        <f t="shared" si="22"/>
        <v>0</v>
      </c>
      <c r="E70" s="358">
        <f t="shared" si="22"/>
        <v>0</v>
      </c>
      <c r="F70" s="358">
        <f t="shared" si="22"/>
        <v>0</v>
      </c>
      <c r="G70" s="358">
        <f t="shared" si="22"/>
        <v>0</v>
      </c>
      <c r="H70" s="358">
        <f t="shared" si="22"/>
        <v>0</v>
      </c>
    </row>
    <row r="71" spans="1:11">
      <c r="A71" s="329" t="str">
        <f t="shared" si="18"/>
        <v>Soyabean</v>
      </c>
      <c r="B71" s="358">
        <f t="shared" si="19"/>
        <v>0</v>
      </c>
      <c r="C71" s="358">
        <f t="shared" ref="C71:H71" si="23">(B71/B$65)*C$65</f>
        <v>0</v>
      </c>
      <c r="D71" s="358">
        <f t="shared" si="23"/>
        <v>0</v>
      </c>
      <c r="E71" s="358">
        <f t="shared" si="23"/>
        <v>0</v>
      </c>
      <c r="F71" s="358">
        <f t="shared" si="23"/>
        <v>0</v>
      </c>
      <c r="G71" s="358">
        <f t="shared" si="23"/>
        <v>0</v>
      </c>
      <c r="H71" s="358">
        <f t="shared" si="23"/>
        <v>0</v>
      </c>
    </row>
    <row r="72" spans="1:11">
      <c r="A72" s="329" t="str">
        <f t="shared" si="18"/>
        <v>Black Gram/Udid</v>
      </c>
      <c r="B72" s="358">
        <f t="shared" si="19"/>
        <v>0</v>
      </c>
      <c r="C72" s="358">
        <f t="shared" ref="C72:H72" si="24">(B72/B$65)*C$65</f>
        <v>0</v>
      </c>
      <c r="D72" s="358">
        <f t="shared" si="24"/>
        <v>0</v>
      </c>
      <c r="E72" s="358">
        <f t="shared" si="24"/>
        <v>0</v>
      </c>
      <c r="F72" s="358">
        <f t="shared" si="24"/>
        <v>0</v>
      </c>
      <c r="G72" s="358">
        <f t="shared" si="24"/>
        <v>0</v>
      </c>
      <c r="H72" s="358">
        <f t="shared" si="24"/>
        <v>0</v>
      </c>
    </row>
    <row r="73" spans="1:11">
      <c r="A73" s="298" t="str">
        <f t="shared" si="18"/>
        <v>Bajra (Kharif)</v>
      </c>
      <c r="B73" s="359">
        <f t="shared" si="19"/>
        <v>112.05000000000001</v>
      </c>
      <c r="C73" s="359">
        <f t="shared" ref="C73:H73" si="25">(B73/B$65)*C$65</f>
        <v>224.10000000000002</v>
      </c>
      <c r="D73" s="359">
        <f t="shared" si="25"/>
        <v>336.15000000000003</v>
      </c>
      <c r="E73" s="359">
        <f t="shared" si="25"/>
        <v>448.20000000000005</v>
      </c>
      <c r="F73" s="359">
        <f t="shared" si="25"/>
        <v>560.25</v>
      </c>
      <c r="G73" s="359">
        <f t="shared" si="25"/>
        <v>672.3</v>
      </c>
      <c r="H73" s="359">
        <f t="shared" si="25"/>
        <v>784.34999999999991</v>
      </c>
    </row>
    <row r="74" spans="1:11">
      <c r="A74" s="329" t="str">
        <f t="shared" si="18"/>
        <v>Jawar</v>
      </c>
      <c r="B74" s="358">
        <f t="shared" si="19"/>
        <v>0</v>
      </c>
      <c r="C74" s="358">
        <f t="shared" ref="C74:H74" si="26">(B74/B$65)*C$65</f>
        <v>0</v>
      </c>
      <c r="D74" s="358">
        <f t="shared" si="26"/>
        <v>0</v>
      </c>
      <c r="E74" s="358">
        <f t="shared" si="26"/>
        <v>0</v>
      </c>
      <c r="F74" s="358">
        <f t="shared" si="26"/>
        <v>0</v>
      </c>
      <c r="G74" s="358">
        <f t="shared" si="26"/>
        <v>0</v>
      </c>
      <c r="H74" s="358">
        <f t="shared" si="26"/>
        <v>0</v>
      </c>
    </row>
    <row r="75" spans="1:11">
      <c r="A75" s="329" t="str">
        <f t="shared" si="18"/>
        <v>Sunflower</v>
      </c>
      <c r="B75" s="358">
        <f t="shared" si="19"/>
        <v>0</v>
      </c>
      <c r="C75" s="358">
        <f t="shared" ref="C75:H75" si="27">(B75/B$65)*C$65</f>
        <v>0</v>
      </c>
      <c r="D75" s="358">
        <f t="shared" si="27"/>
        <v>0</v>
      </c>
      <c r="E75" s="358">
        <f t="shared" si="27"/>
        <v>0</v>
      </c>
      <c r="F75" s="358">
        <f t="shared" si="27"/>
        <v>0</v>
      </c>
      <c r="G75" s="358">
        <f t="shared" si="27"/>
        <v>0</v>
      </c>
      <c r="H75" s="358">
        <f t="shared" si="27"/>
        <v>0</v>
      </c>
    </row>
    <row r="76" spans="1:11">
      <c r="A76" s="361" t="str">
        <f t="shared" si="18"/>
        <v>Maize (Rabbi)</v>
      </c>
      <c r="B76" s="359">
        <f t="shared" ref="B76:B83" si="28">H24*$B$65</f>
        <v>261.45</v>
      </c>
      <c r="C76" s="359">
        <f t="shared" ref="C76:H76" si="29">(B76/B$65)*C$65</f>
        <v>522.9</v>
      </c>
      <c r="D76" s="359">
        <f t="shared" si="29"/>
        <v>784.35</v>
      </c>
      <c r="E76" s="359">
        <f t="shared" si="29"/>
        <v>1045.8</v>
      </c>
      <c r="F76" s="359">
        <f t="shared" si="29"/>
        <v>1307.2499999999998</v>
      </c>
      <c r="G76" s="359">
        <f t="shared" si="29"/>
        <v>1568.6999999999996</v>
      </c>
      <c r="H76" s="359">
        <f t="shared" si="29"/>
        <v>1830.1499999999996</v>
      </c>
    </row>
    <row r="77" spans="1:11">
      <c r="A77" s="298" t="str">
        <f t="shared" si="18"/>
        <v>Gram (Rabbi)</v>
      </c>
      <c r="B77" s="359">
        <f t="shared" si="28"/>
        <v>89.64</v>
      </c>
      <c r="C77" s="359">
        <f t="shared" ref="C77:H77" si="30">(B77/B$65)*C$65</f>
        <v>179.28</v>
      </c>
      <c r="D77" s="359">
        <f t="shared" si="30"/>
        <v>268.92</v>
      </c>
      <c r="E77" s="359">
        <f t="shared" si="30"/>
        <v>358.55999999999995</v>
      </c>
      <c r="F77" s="359">
        <f t="shared" si="30"/>
        <v>448.19999999999993</v>
      </c>
      <c r="G77" s="359">
        <f t="shared" si="30"/>
        <v>537.83999999999992</v>
      </c>
      <c r="H77" s="359">
        <f t="shared" si="30"/>
        <v>627.4799999999999</v>
      </c>
    </row>
    <row r="78" spans="1:11">
      <c r="A78" s="298" t="str">
        <f t="shared" si="18"/>
        <v>Wheat (Rabbi)</v>
      </c>
      <c r="B78" s="359">
        <f t="shared" si="28"/>
        <v>179.28</v>
      </c>
      <c r="C78" s="359">
        <f t="shared" ref="C78:H78" si="31">(B78/B$65)*C$65</f>
        <v>358.56</v>
      </c>
      <c r="D78" s="359">
        <f t="shared" si="31"/>
        <v>537.84</v>
      </c>
      <c r="E78" s="359">
        <f t="shared" si="31"/>
        <v>717.11999999999989</v>
      </c>
      <c r="F78" s="359">
        <f t="shared" si="31"/>
        <v>896.39999999999986</v>
      </c>
      <c r="G78" s="359">
        <f t="shared" si="31"/>
        <v>1075.6799999999998</v>
      </c>
      <c r="H78" s="359">
        <f t="shared" si="31"/>
        <v>1254.9599999999998</v>
      </c>
    </row>
    <row r="79" spans="1:11">
      <c r="A79" s="329">
        <f t="shared" si="18"/>
        <v>0</v>
      </c>
      <c r="B79" s="358">
        <f t="shared" si="28"/>
        <v>0</v>
      </c>
      <c r="C79" s="358">
        <f t="shared" ref="C79:H79" si="32">(B79/B$65)*C$65</f>
        <v>0</v>
      </c>
      <c r="D79" s="358">
        <f t="shared" si="32"/>
        <v>0</v>
      </c>
      <c r="E79" s="358">
        <f t="shared" si="32"/>
        <v>0</v>
      </c>
      <c r="F79" s="358">
        <f t="shared" si="32"/>
        <v>0</v>
      </c>
      <c r="G79" s="358">
        <f t="shared" si="32"/>
        <v>0</v>
      </c>
      <c r="H79" s="358">
        <f t="shared" si="32"/>
        <v>0</v>
      </c>
    </row>
    <row r="80" spans="1:11">
      <c r="A80" s="329">
        <f t="shared" si="18"/>
        <v>0</v>
      </c>
      <c r="B80" s="358">
        <f t="shared" si="28"/>
        <v>0</v>
      </c>
      <c r="C80" s="358">
        <f t="shared" ref="C80:H80" si="33">(B80/B$65)*C$65</f>
        <v>0</v>
      </c>
      <c r="D80" s="358">
        <f t="shared" si="33"/>
        <v>0</v>
      </c>
      <c r="E80" s="358">
        <f t="shared" si="33"/>
        <v>0</v>
      </c>
      <c r="F80" s="358">
        <f t="shared" si="33"/>
        <v>0</v>
      </c>
      <c r="G80" s="358">
        <f t="shared" si="33"/>
        <v>0</v>
      </c>
      <c r="H80" s="358">
        <f t="shared" si="33"/>
        <v>0</v>
      </c>
    </row>
    <row r="81" spans="1:9">
      <c r="A81" s="357">
        <f t="shared" si="18"/>
        <v>0</v>
      </c>
      <c r="B81" s="358">
        <f t="shared" si="28"/>
        <v>0</v>
      </c>
      <c r="C81" s="358">
        <f t="shared" ref="C81:H81" si="34">(B81/B$65)*C$65</f>
        <v>0</v>
      </c>
      <c r="D81" s="358">
        <f t="shared" si="34"/>
        <v>0</v>
      </c>
      <c r="E81" s="358">
        <f t="shared" si="34"/>
        <v>0</v>
      </c>
      <c r="F81" s="358">
        <f t="shared" si="34"/>
        <v>0</v>
      </c>
      <c r="G81" s="358">
        <f t="shared" si="34"/>
        <v>0</v>
      </c>
      <c r="H81" s="358">
        <f t="shared" si="34"/>
        <v>0</v>
      </c>
    </row>
    <row r="82" spans="1:9">
      <c r="A82" s="357">
        <f t="shared" si="18"/>
        <v>0</v>
      </c>
      <c r="B82" s="358">
        <f t="shared" si="28"/>
        <v>0</v>
      </c>
      <c r="C82" s="358">
        <f t="shared" ref="C82:H82" si="35">(B82/B$65)*C$65</f>
        <v>0</v>
      </c>
      <c r="D82" s="358">
        <f t="shared" si="35"/>
        <v>0</v>
      </c>
      <c r="E82" s="358">
        <f t="shared" si="35"/>
        <v>0</v>
      </c>
      <c r="F82" s="358">
        <f t="shared" si="35"/>
        <v>0</v>
      </c>
      <c r="G82" s="358">
        <f t="shared" si="35"/>
        <v>0</v>
      </c>
      <c r="H82" s="358">
        <f t="shared" si="35"/>
        <v>0</v>
      </c>
    </row>
    <row r="83" spans="1:9">
      <c r="A83" s="357">
        <f t="shared" si="18"/>
        <v>0</v>
      </c>
      <c r="B83" s="358">
        <f t="shared" si="28"/>
        <v>0</v>
      </c>
      <c r="C83" s="358">
        <f t="shared" ref="C83:H83" si="36">(B83/B$65)*C$65</f>
        <v>0</v>
      </c>
      <c r="D83" s="358">
        <f t="shared" si="36"/>
        <v>0</v>
      </c>
      <c r="E83" s="358">
        <f t="shared" si="36"/>
        <v>0</v>
      </c>
      <c r="F83" s="358">
        <f t="shared" si="36"/>
        <v>0</v>
      </c>
      <c r="G83" s="358">
        <f t="shared" si="36"/>
        <v>0</v>
      </c>
      <c r="H83" s="358">
        <f t="shared" si="36"/>
        <v>0</v>
      </c>
    </row>
    <row r="84" spans="1:9">
      <c r="A84" s="298" t="str">
        <f t="shared" si="18"/>
        <v>Maize (Summer)</v>
      </c>
      <c r="B84" s="359">
        <f>H33*$B$65</f>
        <v>224.10000000000002</v>
      </c>
      <c r="C84" s="359">
        <f t="shared" ref="C84:H84" si="37">(B84/B$65)*C$65</f>
        <v>448.20000000000005</v>
      </c>
      <c r="D84" s="359">
        <f t="shared" si="37"/>
        <v>672.30000000000007</v>
      </c>
      <c r="E84" s="359">
        <f t="shared" si="37"/>
        <v>896.40000000000009</v>
      </c>
      <c r="F84" s="359">
        <f t="shared" si="37"/>
        <v>1120.5</v>
      </c>
      <c r="G84" s="359">
        <f t="shared" si="37"/>
        <v>1344.6</v>
      </c>
      <c r="H84" s="359">
        <f t="shared" si="37"/>
        <v>1568.6999999999998</v>
      </c>
    </row>
    <row r="85" spans="1:9">
      <c r="A85" s="298" t="str">
        <f t="shared" si="18"/>
        <v>Jawar (Summer)</v>
      </c>
      <c r="B85" s="359">
        <f>H34*$B$65</f>
        <v>191.60550000000001</v>
      </c>
      <c r="C85" s="359">
        <f t="shared" ref="C85:H85" si="38">(B85/B$65)*C$65</f>
        <v>383.21100000000001</v>
      </c>
      <c r="D85" s="359">
        <f t="shared" si="38"/>
        <v>574.81650000000013</v>
      </c>
      <c r="E85" s="359">
        <f t="shared" si="38"/>
        <v>766.42200000000003</v>
      </c>
      <c r="F85" s="359">
        <f t="shared" si="38"/>
        <v>958.02750000000003</v>
      </c>
      <c r="G85" s="359">
        <f t="shared" si="38"/>
        <v>1149.633</v>
      </c>
      <c r="H85" s="359">
        <f t="shared" si="38"/>
        <v>1341.2384999999999</v>
      </c>
    </row>
    <row r="86" spans="1:9">
      <c r="A86" s="357">
        <f t="shared" si="18"/>
        <v>0</v>
      </c>
      <c r="B86" s="358">
        <f>H35*$B$65</f>
        <v>0</v>
      </c>
      <c r="C86" s="358">
        <f t="shared" ref="C86:H86" si="39">(B86/B$65)*C$65</f>
        <v>0</v>
      </c>
      <c r="D86" s="358">
        <f t="shared" si="39"/>
        <v>0</v>
      </c>
      <c r="E86" s="358">
        <f t="shared" si="39"/>
        <v>0</v>
      </c>
      <c r="F86" s="358">
        <f t="shared" si="39"/>
        <v>0</v>
      </c>
      <c r="G86" s="358">
        <f t="shared" si="39"/>
        <v>0</v>
      </c>
      <c r="H86" s="358">
        <f t="shared" si="39"/>
        <v>0</v>
      </c>
    </row>
    <row r="87" spans="1:9">
      <c r="A87" s="357">
        <f t="shared" si="18"/>
        <v>0</v>
      </c>
      <c r="B87" s="358">
        <f>H36*$B$65</f>
        <v>0</v>
      </c>
      <c r="C87" s="358">
        <f t="shared" ref="C87:H87" si="40">(B87/B$65)*C$65</f>
        <v>0</v>
      </c>
      <c r="D87" s="358">
        <f t="shared" si="40"/>
        <v>0</v>
      </c>
      <c r="E87" s="358">
        <f t="shared" si="40"/>
        <v>0</v>
      </c>
      <c r="F87" s="358">
        <f t="shared" si="40"/>
        <v>0</v>
      </c>
      <c r="G87" s="358">
        <f t="shared" si="40"/>
        <v>0</v>
      </c>
      <c r="H87" s="358">
        <f t="shared" si="40"/>
        <v>0</v>
      </c>
    </row>
    <row r="88" spans="1:9">
      <c r="B88" s="353"/>
      <c r="C88" s="353"/>
      <c r="D88" s="353"/>
      <c r="E88" s="353"/>
      <c r="F88" s="353"/>
      <c r="G88" s="353"/>
      <c r="H88" s="353"/>
      <c r="I88" s="353"/>
    </row>
    <row r="89" spans="1:9">
      <c r="A89" s="619" t="s">
        <v>554</v>
      </c>
      <c r="B89" s="620"/>
      <c r="C89" s="620"/>
      <c r="D89" s="620"/>
      <c r="E89" s="620"/>
      <c r="F89" s="620"/>
      <c r="G89" s="620"/>
      <c r="H89" s="621"/>
    </row>
    <row r="90" spans="1:9">
      <c r="A90" s="603" t="s">
        <v>0</v>
      </c>
      <c r="B90" s="349">
        <v>0</v>
      </c>
      <c r="C90" s="349">
        <f>B90+0.05</f>
        <v>0.05</v>
      </c>
      <c r="D90" s="349">
        <f t="shared" ref="D90:G90" si="41">C90+0.05</f>
        <v>0.1</v>
      </c>
      <c r="E90" s="349">
        <f t="shared" si="41"/>
        <v>0.15000000000000002</v>
      </c>
      <c r="F90" s="349">
        <f t="shared" si="41"/>
        <v>0.2</v>
      </c>
      <c r="G90" s="349">
        <f t="shared" si="41"/>
        <v>0.25</v>
      </c>
      <c r="H90" s="349">
        <f>G90+0.05</f>
        <v>0.3</v>
      </c>
    </row>
    <row r="91" spans="1:9">
      <c r="A91" s="604"/>
      <c r="B91" s="327" t="s">
        <v>2</v>
      </c>
      <c r="C91" s="327" t="s">
        <v>3</v>
      </c>
      <c r="D91" s="327" t="s">
        <v>4</v>
      </c>
      <c r="E91" s="327" t="s">
        <v>5</v>
      </c>
      <c r="F91" s="327" t="s">
        <v>6</v>
      </c>
      <c r="G91" s="327" t="s">
        <v>166</v>
      </c>
      <c r="H91" s="327" t="s">
        <v>165</v>
      </c>
    </row>
    <row r="92" spans="1:9" s="352" customFormat="1">
      <c r="A92" s="298" t="str">
        <f t="shared" ref="A92:A112" si="42">A67</f>
        <v>Maize (Kharif)</v>
      </c>
      <c r="B92" s="359">
        <f t="shared" ref="B92:B100" si="43">D14*$B$90</f>
        <v>0</v>
      </c>
      <c r="C92" s="359">
        <f t="shared" ref="C92:C113" si="44">IFERROR((B92/B$90)*C$90,0)</f>
        <v>0</v>
      </c>
      <c r="D92" s="359">
        <f t="shared" ref="D92:H92" si="45">(C92/C$90)*D$90</f>
        <v>0</v>
      </c>
      <c r="E92" s="359">
        <f t="shared" si="45"/>
        <v>0</v>
      </c>
      <c r="F92" s="359">
        <f t="shared" si="45"/>
        <v>0</v>
      </c>
      <c r="G92" s="359">
        <f t="shared" si="45"/>
        <v>0</v>
      </c>
      <c r="H92" s="359">
        <f t="shared" si="45"/>
        <v>0</v>
      </c>
    </row>
    <row r="93" spans="1:9">
      <c r="A93" s="329" t="str">
        <f t="shared" si="42"/>
        <v>Red Gram/Tur</v>
      </c>
      <c r="B93" s="359">
        <f t="shared" ref="B93" si="46">D15*$B$90</f>
        <v>0</v>
      </c>
      <c r="C93" s="359">
        <f t="shared" si="44"/>
        <v>0</v>
      </c>
      <c r="D93" s="359">
        <f t="shared" ref="D93" si="47">(C93/C$90)*D$90</f>
        <v>0</v>
      </c>
      <c r="E93" s="359">
        <f t="shared" ref="E93" si="48">(D93/D$90)*E$90</f>
        <v>0</v>
      </c>
      <c r="F93" s="359">
        <f t="shared" ref="F93" si="49">(E93/E$90)*F$90</f>
        <v>0</v>
      </c>
      <c r="G93" s="359">
        <f t="shared" ref="G93" si="50">(F93/F$90)*G$90</f>
        <v>0</v>
      </c>
      <c r="H93" s="359">
        <f t="shared" ref="H93" si="51">(G93/G$90)*H$90</f>
        <v>0</v>
      </c>
    </row>
    <row r="94" spans="1:9">
      <c r="A94" s="329" t="str">
        <f t="shared" si="42"/>
        <v>Paddy/Rice</v>
      </c>
      <c r="B94" s="358">
        <f t="shared" si="43"/>
        <v>0</v>
      </c>
      <c r="C94" s="359">
        <f t="shared" si="44"/>
        <v>0</v>
      </c>
      <c r="D94" s="358">
        <f t="shared" ref="D94:H103" si="52">(C94/C$90)*D$90</f>
        <v>0</v>
      </c>
      <c r="E94" s="358">
        <f t="shared" si="52"/>
        <v>0</v>
      </c>
      <c r="F94" s="358">
        <f t="shared" si="52"/>
        <v>0</v>
      </c>
      <c r="G94" s="358">
        <f t="shared" si="52"/>
        <v>0</v>
      </c>
      <c r="H94" s="358">
        <f t="shared" si="52"/>
        <v>0</v>
      </c>
    </row>
    <row r="95" spans="1:9">
      <c r="A95" s="329" t="str">
        <f t="shared" si="42"/>
        <v>Green Gram/ Moong</v>
      </c>
      <c r="B95" s="358">
        <f t="shared" si="43"/>
        <v>0</v>
      </c>
      <c r="C95" s="359">
        <f t="shared" si="44"/>
        <v>0</v>
      </c>
      <c r="D95" s="358">
        <f t="shared" si="52"/>
        <v>0</v>
      </c>
      <c r="E95" s="358">
        <f t="shared" si="52"/>
        <v>0</v>
      </c>
      <c r="F95" s="358">
        <f t="shared" si="52"/>
        <v>0</v>
      </c>
      <c r="G95" s="358">
        <f t="shared" si="52"/>
        <v>0</v>
      </c>
      <c r="H95" s="358">
        <f t="shared" si="52"/>
        <v>0</v>
      </c>
    </row>
    <row r="96" spans="1:9">
      <c r="A96" s="329" t="str">
        <f t="shared" si="42"/>
        <v>Soyabean</v>
      </c>
      <c r="B96" s="358">
        <f t="shared" si="43"/>
        <v>0</v>
      </c>
      <c r="C96" s="359">
        <f t="shared" si="44"/>
        <v>0</v>
      </c>
      <c r="D96" s="358">
        <f t="shared" si="52"/>
        <v>0</v>
      </c>
      <c r="E96" s="358">
        <f t="shared" si="52"/>
        <v>0</v>
      </c>
      <c r="F96" s="358">
        <f t="shared" si="52"/>
        <v>0</v>
      </c>
      <c r="G96" s="358">
        <f t="shared" si="52"/>
        <v>0</v>
      </c>
      <c r="H96" s="358">
        <f t="shared" si="52"/>
        <v>0</v>
      </c>
    </row>
    <row r="97" spans="1:8">
      <c r="A97" s="329" t="str">
        <f t="shared" si="42"/>
        <v>Black Gram/Udid</v>
      </c>
      <c r="B97" s="358">
        <f t="shared" si="43"/>
        <v>0</v>
      </c>
      <c r="C97" s="359">
        <f t="shared" si="44"/>
        <v>0</v>
      </c>
      <c r="D97" s="358">
        <f t="shared" si="52"/>
        <v>0</v>
      </c>
      <c r="E97" s="358">
        <f t="shared" si="52"/>
        <v>0</v>
      </c>
      <c r="F97" s="358">
        <f t="shared" si="52"/>
        <v>0</v>
      </c>
      <c r="G97" s="358">
        <f t="shared" si="52"/>
        <v>0</v>
      </c>
      <c r="H97" s="358">
        <f t="shared" si="52"/>
        <v>0</v>
      </c>
    </row>
    <row r="98" spans="1:8">
      <c r="A98" s="329" t="str">
        <f t="shared" si="42"/>
        <v>Bajra (Kharif)</v>
      </c>
      <c r="B98" s="358">
        <f t="shared" si="43"/>
        <v>0</v>
      </c>
      <c r="C98" s="359">
        <f t="shared" si="44"/>
        <v>0</v>
      </c>
      <c r="D98" s="358">
        <f t="shared" si="52"/>
        <v>0</v>
      </c>
      <c r="E98" s="358">
        <f t="shared" si="52"/>
        <v>0</v>
      </c>
      <c r="F98" s="358">
        <f t="shared" si="52"/>
        <v>0</v>
      </c>
      <c r="G98" s="358">
        <f t="shared" si="52"/>
        <v>0</v>
      </c>
      <c r="H98" s="358">
        <f t="shared" si="52"/>
        <v>0</v>
      </c>
    </row>
    <row r="99" spans="1:8">
      <c r="A99" s="329" t="str">
        <f t="shared" si="42"/>
        <v>Jawar</v>
      </c>
      <c r="B99" s="358">
        <f t="shared" si="43"/>
        <v>0</v>
      </c>
      <c r="C99" s="359">
        <f t="shared" si="44"/>
        <v>0</v>
      </c>
      <c r="D99" s="358">
        <f t="shared" si="52"/>
        <v>0</v>
      </c>
      <c r="E99" s="358">
        <f t="shared" si="52"/>
        <v>0</v>
      </c>
      <c r="F99" s="358">
        <f t="shared" si="52"/>
        <v>0</v>
      </c>
      <c r="G99" s="358">
        <f t="shared" si="52"/>
        <v>0</v>
      </c>
      <c r="H99" s="358">
        <f t="shared" si="52"/>
        <v>0</v>
      </c>
    </row>
    <row r="100" spans="1:8">
      <c r="A100" s="329" t="str">
        <f t="shared" si="42"/>
        <v>Sunflower</v>
      </c>
      <c r="B100" s="358">
        <f t="shared" si="43"/>
        <v>0</v>
      </c>
      <c r="C100" s="359">
        <f t="shared" si="44"/>
        <v>0</v>
      </c>
      <c r="D100" s="358">
        <f t="shared" si="52"/>
        <v>0</v>
      </c>
      <c r="E100" s="358">
        <f t="shared" si="52"/>
        <v>0</v>
      </c>
      <c r="F100" s="358">
        <f t="shared" si="52"/>
        <v>0</v>
      </c>
      <c r="G100" s="358">
        <f t="shared" si="52"/>
        <v>0</v>
      </c>
      <c r="H100" s="358">
        <f t="shared" si="52"/>
        <v>0</v>
      </c>
    </row>
    <row r="101" spans="1:8">
      <c r="A101" s="329" t="str">
        <f t="shared" si="42"/>
        <v>Maize (Rabbi)</v>
      </c>
      <c r="B101" s="358">
        <f t="shared" ref="B101:B108" si="53">D24*$B$90</f>
        <v>0</v>
      </c>
      <c r="C101" s="359">
        <f t="shared" si="44"/>
        <v>0</v>
      </c>
      <c r="D101" s="358">
        <f t="shared" si="52"/>
        <v>0</v>
      </c>
      <c r="E101" s="358">
        <f t="shared" si="52"/>
        <v>0</v>
      </c>
      <c r="F101" s="358">
        <f t="shared" si="52"/>
        <v>0</v>
      </c>
      <c r="G101" s="358">
        <f t="shared" si="52"/>
        <v>0</v>
      </c>
      <c r="H101" s="358">
        <f t="shared" si="52"/>
        <v>0</v>
      </c>
    </row>
    <row r="102" spans="1:8">
      <c r="A102" s="329" t="str">
        <f t="shared" si="42"/>
        <v>Gram (Rabbi)</v>
      </c>
      <c r="B102" s="358">
        <v>0</v>
      </c>
      <c r="C102" s="359">
        <f t="shared" si="44"/>
        <v>0</v>
      </c>
      <c r="D102" s="358">
        <f t="shared" si="52"/>
        <v>0</v>
      </c>
      <c r="E102" s="358">
        <f t="shared" si="52"/>
        <v>0</v>
      </c>
      <c r="F102" s="358">
        <f t="shared" si="52"/>
        <v>0</v>
      </c>
      <c r="G102" s="358">
        <f t="shared" si="52"/>
        <v>0</v>
      </c>
      <c r="H102" s="358">
        <f t="shared" si="52"/>
        <v>0</v>
      </c>
    </row>
    <row r="103" spans="1:8">
      <c r="A103" s="329" t="str">
        <f t="shared" si="42"/>
        <v>Wheat (Rabbi)</v>
      </c>
      <c r="B103" s="358">
        <f t="shared" si="53"/>
        <v>0</v>
      </c>
      <c r="C103" s="359">
        <f t="shared" si="44"/>
        <v>0</v>
      </c>
      <c r="D103" s="358">
        <f t="shared" si="52"/>
        <v>0</v>
      </c>
      <c r="E103" s="358">
        <f t="shared" si="52"/>
        <v>0</v>
      </c>
      <c r="F103" s="358">
        <f t="shared" si="52"/>
        <v>0</v>
      </c>
      <c r="G103" s="358">
        <f t="shared" si="52"/>
        <v>0</v>
      </c>
      <c r="H103" s="358">
        <f t="shared" si="52"/>
        <v>0</v>
      </c>
    </row>
    <row r="104" spans="1:8">
      <c r="A104" s="329">
        <f t="shared" si="42"/>
        <v>0</v>
      </c>
      <c r="B104" s="358">
        <f t="shared" si="53"/>
        <v>0</v>
      </c>
      <c r="C104" s="359">
        <f t="shared" si="44"/>
        <v>0</v>
      </c>
      <c r="D104" s="358">
        <f t="shared" ref="D104:H113" si="54">(C104/C$90)*D$90</f>
        <v>0</v>
      </c>
      <c r="E104" s="358">
        <f t="shared" si="54"/>
        <v>0</v>
      </c>
      <c r="F104" s="358">
        <f t="shared" si="54"/>
        <v>0</v>
      </c>
      <c r="G104" s="358">
        <f t="shared" si="54"/>
        <v>0</v>
      </c>
      <c r="H104" s="358">
        <f t="shared" si="54"/>
        <v>0</v>
      </c>
    </row>
    <row r="105" spans="1:8">
      <c r="A105" s="329">
        <f t="shared" si="42"/>
        <v>0</v>
      </c>
      <c r="B105" s="358">
        <f t="shared" si="53"/>
        <v>0</v>
      </c>
      <c r="C105" s="359">
        <f t="shared" si="44"/>
        <v>0</v>
      </c>
      <c r="D105" s="358">
        <f t="shared" si="54"/>
        <v>0</v>
      </c>
      <c r="E105" s="358">
        <f t="shared" si="54"/>
        <v>0</v>
      </c>
      <c r="F105" s="358">
        <f t="shared" si="54"/>
        <v>0</v>
      </c>
      <c r="G105" s="358">
        <f t="shared" si="54"/>
        <v>0</v>
      </c>
      <c r="H105" s="358">
        <f t="shared" si="54"/>
        <v>0</v>
      </c>
    </row>
    <row r="106" spans="1:8">
      <c r="A106" s="357">
        <f t="shared" si="42"/>
        <v>0</v>
      </c>
      <c r="B106" s="358">
        <f t="shared" si="53"/>
        <v>0</v>
      </c>
      <c r="C106" s="359">
        <f t="shared" si="44"/>
        <v>0</v>
      </c>
      <c r="D106" s="358">
        <f t="shared" si="54"/>
        <v>0</v>
      </c>
      <c r="E106" s="358">
        <f t="shared" si="54"/>
        <v>0</v>
      </c>
      <c r="F106" s="358">
        <f t="shared" si="54"/>
        <v>0</v>
      </c>
      <c r="G106" s="358">
        <f t="shared" si="54"/>
        <v>0</v>
      </c>
      <c r="H106" s="358">
        <f t="shared" si="54"/>
        <v>0</v>
      </c>
    </row>
    <row r="107" spans="1:8">
      <c r="A107" s="357">
        <f t="shared" si="42"/>
        <v>0</v>
      </c>
      <c r="B107" s="358">
        <f t="shared" si="53"/>
        <v>0</v>
      </c>
      <c r="C107" s="359">
        <f t="shared" si="44"/>
        <v>0</v>
      </c>
      <c r="D107" s="358">
        <f t="shared" si="54"/>
        <v>0</v>
      </c>
      <c r="E107" s="358">
        <f t="shared" si="54"/>
        <v>0</v>
      </c>
      <c r="F107" s="358">
        <f t="shared" si="54"/>
        <v>0</v>
      </c>
      <c r="G107" s="358">
        <f t="shared" si="54"/>
        <v>0</v>
      </c>
      <c r="H107" s="358">
        <f t="shared" si="54"/>
        <v>0</v>
      </c>
    </row>
    <row r="108" spans="1:8">
      <c r="A108" s="357">
        <f t="shared" si="42"/>
        <v>0</v>
      </c>
      <c r="B108" s="358">
        <f t="shared" si="53"/>
        <v>0</v>
      </c>
      <c r="C108" s="359">
        <f t="shared" si="44"/>
        <v>0</v>
      </c>
      <c r="D108" s="358">
        <f t="shared" si="54"/>
        <v>0</v>
      </c>
      <c r="E108" s="358">
        <f t="shared" si="54"/>
        <v>0</v>
      </c>
      <c r="F108" s="358">
        <f t="shared" si="54"/>
        <v>0</v>
      </c>
      <c r="G108" s="358">
        <f t="shared" si="54"/>
        <v>0</v>
      </c>
      <c r="H108" s="358">
        <f t="shared" si="54"/>
        <v>0</v>
      </c>
    </row>
    <row r="109" spans="1:8">
      <c r="A109" s="298" t="str">
        <f t="shared" si="42"/>
        <v>Maize (Summer)</v>
      </c>
      <c r="B109" s="359">
        <f>D33*$B$90</f>
        <v>0</v>
      </c>
      <c r="C109" s="359">
        <f t="shared" si="44"/>
        <v>0</v>
      </c>
      <c r="D109" s="359">
        <f t="shared" si="54"/>
        <v>0</v>
      </c>
      <c r="E109" s="359">
        <f t="shared" si="54"/>
        <v>0</v>
      </c>
      <c r="F109" s="359">
        <f t="shared" si="54"/>
        <v>0</v>
      </c>
      <c r="G109" s="359">
        <f t="shared" si="54"/>
        <v>0</v>
      </c>
      <c r="H109" s="359">
        <f t="shared" si="54"/>
        <v>0</v>
      </c>
    </row>
    <row r="110" spans="1:8">
      <c r="A110" s="357" t="str">
        <f t="shared" si="42"/>
        <v>Jawar (Summer)</v>
      </c>
      <c r="B110" s="358">
        <f>D34*$B$90</f>
        <v>0</v>
      </c>
      <c r="C110" s="359">
        <f t="shared" si="44"/>
        <v>0</v>
      </c>
      <c r="D110" s="358">
        <f t="shared" si="54"/>
        <v>0</v>
      </c>
      <c r="E110" s="358">
        <f t="shared" si="54"/>
        <v>0</v>
      </c>
      <c r="F110" s="358">
        <f t="shared" si="54"/>
        <v>0</v>
      </c>
      <c r="G110" s="358">
        <f t="shared" si="54"/>
        <v>0</v>
      </c>
      <c r="H110" s="358">
        <f t="shared" si="54"/>
        <v>0</v>
      </c>
    </row>
    <row r="111" spans="1:8">
      <c r="A111" s="357">
        <f t="shared" si="42"/>
        <v>0</v>
      </c>
      <c r="B111" s="358">
        <f>D35*$B$90</f>
        <v>0</v>
      </c>
      <c r="C111" s="359">
        <f t="shared" si="44"/>
        <v>0</v>
      </c>
      <c r="D111" s="358">
        <f t="shared" si="54"/>
        <v>0</v>
      </c>
      <c r="E111" s="358">
        <f t="shared" si="54"/>
        <v>0</v>
      </c>
      <c r="F111" s="358">
        <f t="shared" si="54"/>
        <v>0</v>
      </c>
      <c r="G111" s="358">
        <f t="shared" si="54"/>
        <v>0</v>
      </c>
      <c r="H111" s="358">
        <f t="shared" si="54"/>
        <v>0</v>
      </c>
    </row>
    <row r="112" spans="1:8">
      <c r="A112" s="357">
        <f t="shared" si="42"/>
        <v>0</v>
      </c>
      <c r="B112" s="358">
        <f>D36*$B$90</f>
        <v>0</v>
      </c>
      <c r="C112" s="359">
        <f t="shared" si="44"/>
        <v>0</v>
      </c>
      <c r="D112" s="358">
        <f t="shared" si="54"/>
        <v>0</v>
      </c>
      <c r="E112" s="358">
        <f t="shared" si="54"/>
        <v>0</v>
      </c>
      <c r="F112" s="358">
        <f t="shared" si="54"/>
        <v>0</v>
      </c>
      <c r="G112" s="358">
        <f t="shared" si="54"/>
        <v>0</v>
      </c>
      <c r="H112" s="358">
        <f t="shared" si="54"/>
        <v>0</v>
      </c>
    </row>
    <row r="113" spans="1:9">
      <c r="A113" s="329"/>
      <c r="B113" s="358">
        <f>D37*$B$90</f>
        <v>0</v>
      </c>
      <c r="C113" s="359">
        <f t="shared" si="44"/>
        <v>0</v>
      </c>
      <c r="D113" s="358">
        <f t="shared" si="54"/>
        <v>0</v>
      </c>
      <c r="E113" s="358">
        <f t="shared" si="54"/>
        <v>0</v>
      </c>
      <c r="F113" s="358">
        <f t="shared" si="54"/>
        <v>0</v>
      </c>
      <c r="G113" s="358">
        <f t="shared" si="54"/>
        <v>0</v>
      </c>
      <c r="H113" s="358">
        <f t="shared" si="54"/>
        <v>0</v>
      </c>
    </row>
    <row r="115" spans="1:9">
      <c r="C115" s="325"/>
      <c r="D115" s="339"/>
      <c r="E115" s="339"/>
      <c r="F115" s="339"/>
      <c r="G115" s="339"/>
      <c r="H115" s="339"/>
      <c r="I115" s="339"/>
    </row>
    <row r="116" spans="1:9">
      <c r="A116" s="263" t="s">
        <v>523</v>
      </c>
      <c r="C116" s="271"/>
      <c r="D116" s="271"/>
      <c r="E116" s="271"/>
      <c r="F116" s="271"/>
      <c r="G116" s="271"/>
      <c r="H116" s="271"/>
      <c r="I116" s="271"/>
    </row>
    <row r="117" spans="1:9">
      <c r="A117" s="263">
        <v>1</v>
      </c>
      <c r="B117" s="263" t="s">
        <v>575</v>
      </c>
    </row>
    <row r="118" spans="1:9">
      <c r="A118" s="263">
        <v>2</v>
      </c>
      <c r="B118" s="263" t="s">
        <v>576</v>
      </c>
    </row>
    <row r="119" spans="1:9">
      <c r="A119" s="263">
        <v>3</v>
      </c>
      <c r="B119" s="263" t="s">
        <v>526</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2" max="25"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32"/>
  <sheetViews>
    <sheetView view="pageBreakPreview" topLeftCell="A108" zoomScale="80" zoomScaleSheetLayoutView="80" workbookViewId="0">
      <selection activeCell="A138" sqref="A138"/>
    </sheetView>
  </sheetViews>
  <sheetFormatPr defaultRowHeight="14.25"/>
  <cols>
    <col min="1" max="1" width="44.28515625" style="263" bestFit="1" customWidth="1"/>
    <col min="2" max="2" width="23.28515625" style="263" bestFit="1" customWidth="1"/>
    <col min="3" max="3" width="11.5703125" style="263" customWidth="1"/>
    <col min="4" max="4" width="18.85546875" style="263" customWidth="1"/>
    <col min="5" max="5" width="15.140625" style="263" customWidth="1"/>
    <col min="6" max="7" width="15.85546875" style="263" customWidth="1"/>
    <col min="8" max="8" width="21.28515625" style="263" customWidth="1"/>
    <col min="9" max="9" width="11.42578125" style="263" bestFit="1" customWidth="1"/>
    <col min="10" max="10" width="9.140625" style="263" bestFit="1" customWidth="1"/>
    <col min="11" max="16384" width="9.140625" style="263"/>
  </cols>
  <sheetData>
    <row r="1" spans="1:26" ht="18">
      <c r="A1" s="601" t="s">
        <v>479</v>
      </c>
      <c r="B1" s="601"/>
      <c r="C1" s="601"/>
      <c r="D1" s="601"/>
      <c r="E1" s="601"/>
      <c r="F1" s="601"/>
      <c r="G1" s="601"/>
      <c r="H1" s="601"/>
    </row>
    <row r="2" spans="1:26">
      <c r="B2" s="325"/>
    </row>
    <row r="3" spans="1:26" ht="18">
      <c r="A3" s="602" t="s">
        <v>555</v>
      </c>
      <c r="B3" s="602"/>
    </row>
    <row r="4" spans="1:26">
      <c r="A4" s="326" t="s">
        <v>0</v>
      </c>
      <c r="B4" s="327" t="s">
        <v>370</v>
      </c>
      <c r="C4" s="328"/>
      <c r="D4" s="328"/>
      <c r="E4" s="328"/>
      <c r="F4" s="328"/>
      <c r="G4" s="328"/>
      <c r="H4" s="328"/>
    </row>
    <row r="5" spans="1:26">
      <c r="A5" s="329" t="s">
        <v>474</v>
      </c>
      <c r="B5" s="273"/>
      <c r="C5" s="330"/>
      <c r="D5" s="331"/>
      <c r="E5" s="331"/>
      <c r="F5" s="331"/>
      <c r="G5" s="331"/>
      <c r="H5" s="331"/>
    </row>
    <row r="6" spans="1:26">
      <c r="A6" s="329" t="s">
        <v>475</v>
      </c>
      <c r="B6" s="273"/>
      <c r="C6" s="330"/>
      <c r="D6" s="331"/>
      <c r="E6" s="331"/>
      <c r="F6" s="331"/>
      <c r="G6" s="331"/>
      <c r="H6" s="331"/>
    </row>
    <row r="7" spans="1:26">
      <c r="A7" s="332" t="s">
        <v>1</v>
      </c>
      <c r="B7" s="333">
        <f>B5+B6</f>
        <v>0</v>
      </c>
      <c r="C7" s="334"/>
      <c r="D7" s="335"/>
      <c r="E7" s="335"/>
      <c r="F7" s="335"/>
      <c r="G7" s="335"/>
      <c r="H7" s="335"/>
    </row>
    <row r="8" spans="1:26">
      <c r="A8" s="332" t="s">
        <v>476</v>
      </c>
      <c r="B8" s="277">
        <v>0</v>
      </c>
      <c r="C8" s="334"/>
      <c r="D8" s="334"/>
      <c r="E8" s="334"/>
      <c r="F8" s="334"/>
      <c r="G8" s="334"/>
      <c r="H8" s="334"/>
    </row>
    <row r="9" spans="1:26">
      <c r="A9" s="332" t="s">
        <v>477</v>
      </c>
      <c r="B9" s="333">
        <f>B7*B8</f>
        <v>0</v>
      </c>
      <c r="C9" s="335"/>
      <c r="D9" s="335"/>
      <c r="E9" s="335"/>
      <c r="F9" s="335"/>
      <c r="G9" s="335"/>
      <c r="H9" s="335"/>
    </row>
    <row r="10" spans="1:26">
      <c r="J10" s="263" t="s">
        <v>438</v>
      </c>
      <c r="O10" s="263" t="s">
        <v>434</v>
      </c>
      <c r="U10" s="263" t="s">
        <v>435</v>
      </c>
      <c r="Y10" s="263" t="s">
        <v>436</v>
      </c>
      <c r="Z10" s="263" t="s">
        <v>437</v>
      </c>
    </row>
    <row r="11" spans="1:26" ht="18">
      <c r="A11" s="601" t="s">
        <v>556</v>
      </c>
      <c r="B11" s="601"/>
      <c r="C11" s="601"/>
      <c r="D11" s="601"/>
      <c r="E11" s="601"/>
      <c r="F11" s="601"/>
      <c r="G11" s="601"/>
      <c r="H11" s="601"/>
      <c r="I11" s="336"/>
      <c r="J11" s="336"/>
      <c r="K11" s="336"/>
      <c r="L11" s="336"/>
      <c r="M11" s="336"/>
      <c r="N11" s="336"/>
      <c r="O11" s="336"/>
      <c r="P11" s="336"/>
    </row>
    <row r="12" spans="1:26">
      <c r="J12" s="337">
        <v>0.65</v>
      </c>
      <c r="K12" s="338">
        <f>J12+0.05</f>
        <v>0.70000000000000007</v>
      </c>
      <c r="L12" s="338">
        <f t="shared" ref="L12:N12" si="0">K12+0.05</f>
        <v>0.75000000000000011</v>
      </c>
      <c r="M12" s="338">
        <f t="shared" si="0"/>
        <v>0.80000000000000016</v>
      </c>
      <c r="N12" s="338">
        <f t="shared" si="0"/>
        <v>0.8500000000000002</v>
      </c>
      <c r="O12" s="337">
        <v>0.4</v>
      </c>
      <c r="P12" s="337">
        <f>O12+0.05</f>
        <v>0.45</v>
      </c>
      <c r="Q12" s="337">
        <f t="shared" ref="Q12:T12" si="1">P12+0.05</f>
        <v>0.5</v>
      </c>
      <c r="R12" s="337">
        <f t="shared" si="1"/>
        <v>0.55000000000000004</v>
      </c>
      <c r="S12" s="337">
        <f t="shared" si="1"/>
        <v>0.60000000000000009</v>
      </c>
      <c r="T12" s="337">
        <f t="shared" si="1"/>
        <v>0.65000000000000013</v>
      </c>
      <c r="U12" s="337">
        <v>0.1</v>
      </c>
      <c r="V12" s="339">
        <f>U12+0.05</f>
        <v>0.15000000000000002</v>
      </c>
      <c r="W12" s="339">
        <f t="shared" ref="W12:X12" si="2">V12+0.05</f>
        <v>0.2</v>
      </c>
      <c r="X12" s="339">
        <f t="shared" si="2"/>
        <v>0.25</v>
      </c>
    </row>
    <row r="13" spans="1:26" ht="42.75">
      <c r="A13" s="355" t="s">
        <v>374</v>
      </c>
      <c r="B13" s="355" t="s">
        <v>375</v>
      </c>
      <c r="C13" s="356" t="s">
        <v>430</v>
      </c>
      <c r="D13" s="356" t="s">
        <v>439</v>
      </c>
      <c r="E13" s="356" t="s">
        <v>440</v>
      </c>
      <c r="F13" s="356" t="s">
        <v>376</v>
      </c>
      <c r="G13" s="356" t="s">
        <v>431</v>
      </c>
      <c r="H13" s="356" t="s">
        <v>377</v>
      </c>
      <c r="O13" s="340" t="s">
        <v>2</v>
      </c>
      <c r="P13" s="340" t="s">
        <v>3</v>
      </c>
      <c r="Q13" s="340" t="s">
        <v>4</v>
      </c>
      <c r="R13" s="340" t="s">
        <v>5</v>
      </c>
      <c r="S13" s="340" t="s">
        <v>6</v>
      </c>
      <c r="T13" s="340" t="s">
        <v>2</v>
      </c>
      <c r="U13" s="340" t="s">
        <v>3</v>
      </c>
      <c r="V13" s="340" t="s">
        <v>4</v>
      </c>
      <c r="W13" s="340" t="s">
        <v>5</v>
      </c>
      <c r="X13" s="340" t="s">
        <v>6</v>
      </c>
    </row>
    <row r="14" spans="1:26">
      <c r="A14" s="625" t="s">
        <v>378</v>
      </c>
      <c r="B14" s="277" t="s">
        <v>464</v>
      </c>
      <c r="C14" s="341">
        <v>0</v>
      </c>
      <c r="D14" s="357">
        <f t="shared" ref="D14:D40" si="3">$B$9*C14</f>
        <v>0</v>
      </c>
      <c r="E14" s="362"/>
      <c r="F14" s="357">
        <f>D14*E14</f>
        <v>0</v>
      </c>
      <c r="G14" s="343">
        <v>0</v>
      </c>
      <c r="H14" s="357">
        <f>(F14-F14*G14)</f>
        <v>0</v>
      </c>
      <c r="J14" s="263">
        <f>$D$14*J12</f>
        <v>0</v>
      </c>
      <c r="K14" s="263">
        <f>$D$14*K12</f>
        <v>0</v>
      </c>
      <c r="L14" s="263">
        <f>$D$14*L12</f>
        <v>0</v>
      </c>
      <c r="M14" s="263">
        <f>$D$14*M12</f>
        <v>0</v>
      </c>
      <c r="N14" s="263">
        <f>$D$14*N12</f>
        <v>0</v>
      </c>
    </row>
    <row r="15" spans="1:26">
      <c r="A15" s="626"/>
      <c r="B15" s="277" t="s">
        <v>465</v>
      </c>
      <c r="C15" s="341">
        <v>0</v>
      </c>
      <c r="D15" s="357">
        <f t="shared" si="3"/>
        <v>0</v>
      </c>
      <c r="E15" s="362"/>
      <c r="F15" s="357">
        <f t="shared" ref="F15:F40" si="4">D15*E15</f>
        <v>0</v>
      </c>
      <c r="G15" s="343">
        <v>0</v>
      </c>
      <c r="H15" s="357">
        <f>(F15-F15*G15)</f>
        <v>0</v>
      </c>
    </row>
    <row r="16" spans="1:26">
      <c r="A16" s="626"/>
      <c r="B16" s="277" t="s">
        <v>466</v>
      </c>
      <c r="C16" s="341">
        <v>0</v>
      </c>
      <c r="D16" s="357">
        <f t="shared" si="3"/>
        <v>0</v>
      </c>
      <c r="E16" s="362"/>
      <c r="F16" s="357">
        <f t="shared" si="4"/>
        <v>0</v>
      </c>
      <c r="G16" s="343">
        <v>0</v>
      </c>
      <c r="H16" s="357">
        <f t="shared" ref="H16:H40" si="5">(F16-F16*G16)</f>
        <v>0</v>
      </c>
    </row>
    <row r="17" spans="1:8">
      <c r="A17" s="626"/>
      <c r="B17" s="277" t="s">
        <v>467</v>
      </c>
      <c r="C17" s="341">
        <v>0</v>
      </c>
      <c r="D17" s="357">
        <f t="shared" si="3"/>
        <v>0</v>
      </c>
      <c r="E17" s="362"/>
      <c r="F17" s="357">
        <f t="shared" si="4"/>
        <v>0</v>
      </c>
      <c r="G17" s="343">
        <v>0</v>
      </c>
      <c r="H17" s="357">
        <f t="shared" si="5"/>
        <v>0</v>
      </c>
    </row>
    <row r="18" spans="1:8">
      <c r="A18" s="626"/>
      <c r="B18" s="277" t="s">
        <v>469</v>
      </c>
      <c r="C18" s="341">
        <v>0</v>
      </c>
      <c r="D18" s="357">
        <f t="shared" si="3"/>
        <v>0</v>
      </c>
      <c r="E18" s="362"/>
      <c r="F18" s="357">
        <f t="shared" si="4"/>
        <v>0</v>
      </c>
      <c r="G18" s="343">
        <v>0</v>
      </c>
      <c r="H18" s="357">
        <f t="shared" si="5"/>
        <v>0</v>
      </c>
    </row>
    <row r="19" spans="1:8">
      <c r="A19" s="626"/>
      <c r="B19" s="273"/>
      <c r="C19" s="341">
        <v>0</v>
      </c>
      <c r="D19" s="357">
        <f t="shared" si="3"/>
        <v>0</v>
      </c>
      <c r="E19" s="362"/>
      <c r="F19" s="357">
        <f t="shared" si="4"/>
        <v>0</v>
      </c>
      <c r="G19" s="343">
        <v>0</v>
      </c>
      <c r="H19" s="357">
        <f t="shared" si="5"/>
        <v>0</v>
      </c>
    </row>
    <row r="20" spans="1:8">
      <c r="A20" s="626"/>
      <c r="B20" s="273"/>
      <c r="C20" s="341">
        <v>0</v>
      </c>
      <c r="D20" s="357">
        <f t="shared" si="3"/>
        <v>0</v>
      </c>
      <c r="E20" s="362"/>
      <c r="F20" s="357">
        <f t="shared" si="4"/>
        <v>0</v>
      </c>
      <c r="G20" s="343">
        <v>0</v>
      </c>
      <c r="H20" s="357">
        <f t="shared" si="5"/>
        <v>0</v>
      </c>
    </row>
    <row r="21" spans="1:8">
      <c r="A21" s="626"/>
      <c r="B21" s="273"/>
      <c r="C21" s="341">
        <v>0</v>
      </c>
      <c r="D21" s="357">
        <f t="shared" si="3"/>
        <v>0</v>
      </c>
      <c r="E21" s="362"/>
      <c r="F21" s="357">
        <f t="shared" si="4"/>
        <v>0</v>
      </c>
      <c r="G21" s="343">
        <v>0</v>
      </c>
      <c r="H21" s="357">
        <f t="shared" si="5"/>
        <v>0</v>
      </c>
    </row>
    <row r="22" spans="1:8">
      <c r="A22" s="627"/>
      <c r="B22" s="273"/>
      <c r="C22" s="341">
        <v>0</v>
      </c>
      <c r="D22" s="357">
        <f t="shared" si="3"/>
        <v>0</v>
      </c>
      <c r="E22" s="362"/>
      <c r="F22" s="357">
        <f t="shared" si="4"/>
        <v>0</v>
      </c>
      <c r="G22" s="343">
        <v>0</v>
      </c>
      <c r="H22" s="357">
        <f t="shared" si="5"/>
        <v>0</v>
      </c>
    </row>
    <row r="23" spans="1:8">
      <c r="A23" s="369" t="s">
        <v>480</v>
      </c>
      <c r="B23" s="354">
        <v>0</v>
      </c>
      <c r="C23" s="372">
        <f>B9*B23</f>
        <v>0</v>
      </c>
      <c r="D23" s="357"/>
      <c r="E23" s="362"/>
      <c r="F23" s="357"/>
      <c r="G23" s="343"/>
      <c r="H23" s="357"/>
    </row>
    <row r="24" spans="1:8">
      <c r="A24" s="625" t="s">
        <v>380</v>
      </c>
      <c r="B24" s="277" t="s">
        <v>464</v>
      </c>
      <c r="C24" s="341">
        <v>0</v>
      </c>
      <c r="D24" s="357">
        <f>C$23*C24</f>
        <v>0</v>
      </c>
      <c r="E24" s="362"/>
      <c r="F24" s="357">
        <f t="shared" si="4"/>
        <v>0</v>
      </c>
      <c r="G24" s="343">
        <v>0</v>
      </c>
      <c r="H24" s="357">
        <f t="shared" si="5"/>
        <v>0</v>
      </c>
    </row>
    <row r="25" spans="1:8">
      <c r="A25" s="626"/>
      <c r="B25" s="277" t="s">
        <v>465</v>
      </c>
      <c r="C25" s="341">
        <v>0</v>
      </c>
      <c r="D25" s="357">
        <f>C$23*C25</f>
        <v>0</v>
      </c>
      <c r="E25" s="362"/>
      <c r="F25" s="357">
        <f t="shared" si="4"/>
        <v>0</v>
      </c>
      <c r="G25" s="343">
        <v>0</v>
      </c>
      <c r="H25" s="357">
        <f t="shared" si="5"/>
        <v>0</v>
      </c>
    </row>
    <row r="26" spans="1:8">
      <c r="A26" s="626"/>
      <c r="B26" s="277" t="s">
        <v>466</v>
      </c>
      <c r="C26" s="341">
        <v>0</v>
      </c>
      <c r="D26" s="357">
        <f>C$23*C26</f>
        <v>0</v>
      </c>
      <c r="E26" s="362"/>
      <c r="F26" s="357">
        <f t="shared" si="4"/>
        <v>0</v>
      </c>
      <c r="G26" s="343">
        <v>0</v>
      </c>
      <c r="H26" s="357">
        <f t="shared" si="5"/>
        <v>0</v>
      </c>
    </row>
    <row r="27" spans="1:8">
      <c r="A27" s="626"/>
      <c r="B27" s="277" t="s">
        <v>467</v>
      </c>
      <c r="C27" s="341">
        <v>0</v>
      </c>
      <c r="D27" s="357">
        <f t="shared" ref="D27:D31" si="6">C$23*C27</f>
        <v>0</v>
      </c>
      <c r="E27" s="362"/>
      <c r="F27" s="357">
        <f t="shared" si="4"/>
        <v>0</v>
      </c>
      <c r="G27" s="343">
        <v>0</v>
      </c>
      <c r="H27" s="357">
        <f t="shared" si="5"/>
        <v>0</v>
      </c>
    </row>
    <row r="28" spans="1:8">
      <c r="A28" s="626"/>
      <c r="B28" s="277" t="s">
        <v>468</v>
      </c>
      <c r="C28" s="341">
        <v>0</v>
      </c>
      <c r="D28" s="357">
        <f t="shared" si="6"/>
        <v>0</v>
      </c>
      <c r="E28" s="362"/>
      <c r="F28" s="357">
        <f t="shared" si="4"/>
        <v>0</v>
      </c>
      <c r="G28" s="343">
        <v>0</v>
      </c>
      <c r="H28" s="357">
        <f t="shared" si="5"/>
        <v>0</v>
      </c>
    </row>
    <row r="29" spans="1:8">
      <c r="A29" s="626"/>
      <c r="B29" s="273"/>
      <c r="C29" s="341">
        <v>0</v>
      </c>
      <c r="D29" s="357">
        <f t="shared" si="6"/>
        <v>0</v>
      </c>
      <c r="E29" s="362"/>
      <c r="F29" s="357">
        <f t="shared" si="4"/>
        <v>0</v>
      </c>
      <c r="G29" s="343">
        <v>0</v>
      </c>
      <c r="H29" s="357">
        <f t="shared" si="5"/>
        <v>0</v>
      </c>
    </row>
    <row r="30" spans="1:8">
      <c r="A30" s="626"/>
      <c r="B30" s="273"/>
      <c r="C30" s="341">
        <v>0</v>
      </c>
      <c r="D30" s="357">
        <f t="shared" si="6"/>
        <v>0</v>
      </c>
      <c r="E30" s="362"/>
      <c r="F30" s="357">
        <f t="shared" si="4"/>
        <v>0</v>
      </c>
      <c r="G30" s="343">
        <v>0</v>
      </c>
      <c r="H30" s="357">
        <f t="shared" si="5"/>
        <v>0</v>
      </c>
    </row>
    <row r="31" spans="1:8">
      <c r="A31" s="627"/>
      <c r="B31" s="273"/>
      <c r="C31" s="341">
        <v>0</v>
      </c>
      <c r="D31" s="357">
        <f t="shared" si="6"/>
        <v>0</v>
      </c>
      <c r="E31" s="362"/>
      <c r="F31" s="357">
        <f t="shared" si="4"/>
        <v>0</v>
      </c>
      <c r="G31" s="343">
        <v>0</v>
      </c>
      <c r="H31" s="357">
        <f t="shared" si="5"/>
        <v>0</v>
      </c>
    </row>
    <row r="32" spans="1:8">
      <c r="A32" s="368" t="s">
        <v>481</v>
      </c>
      <c r="B32" s="354">
        <v>0</v>
      </c>
      <c r="C32" s="372">
        <f>B9*B32</f>
        <v>0</v>
      </c>
      <c r="D32" s="357"/>
      <c r="E32" s="362"/>
      <c r="F32" s="357"/>
      <c r="G32" s="343"/>
      <c r="H32" s="357"/>
    </row>
    <row r="33" spans="1:8">
      <c r="A33" s="374" t="s">
        <v>444</v>
      </c>
      <c r="B33" s="273"/>
      <c r="C33" s="341">
        <v>0</v>
      </c>
      <c r="D33" s="357">
        <f>C$32*C33</f>
        <v>0</v>
      </c>
      <c r="E33" s="362"/>
      <c r="F33" s="357">
        <f t="shared" si="4"/>
        <v>0</v>
      </c>
      <c r="G33" s="343">
        <v>0</v>
      </c>
      <c r="H33" s="357">
        <f t="shared" si="5"/>
        <v>0</v>
      </c>
    </row>
    <row r="34" spans="1:8">
      <c r="A34" s="370"/>
      <c r="B34" s="273"/>
      <c r="C34" s="341">
        <v>0</v>
      </c>
      <c r="D34" s="357">
        <f>C$32*C34</f>
        <v>0</v>
      </c>
      <c r="E34" s="362"/>
      <c r="F34" s="357">
        <f t="shared" si="4"/>
        <v>0</v>
      </c>
      <c r="G34" s="343">
        <v>0</v>
      </c>
      <c r="H34" s="357">
        <f t="shared" si="5"/>
        <v>0</v>
      </c>
    </row>
    <row r="35" spans="1:8">
      <c r="A35" s="370"/>
      <c r="B35" s="273"/>
      <c r="C35" s="341">
        <v>0</v>
      </c>
      <c r="D35" s="357">
        <f>C$32*C35</f>
        <v>0</v>
      </c>
      <c r="E35" s="362"/>
      <c r="F35" s="357">
        <f t="shared" si="4"/>
        <v>0</v>
      </c>
      <c r="G35" s="343">
        <v>0</v>
      </c>
      <c r="H35" s="357">
        <f t="shared" si="5"/>
        <v>0</v>
      </c>
    </row>
    <row r="36" spans="1:8">
      <c r="A36" s="371"/>
      <c r="B36" s="273"/>
      <c r="C36" s="341">
        <v>0</v>
      </c>
      <c r="D36" s="357">
        <f>C$32*C36</f>
        <v>0</v>
      </c>
      <c r="E36" s="362"/>
      <c r="F36" s="357">
        <f t="shared" si="4"/>
        <v>0</v>
      </c>
      <c r="G36" s="343">
        <v>0</v>
      </c>
      <c r="H36" s="357">
        <f t="shared" si="5"/>
        <v>0</v>
      </c>
    </row>
    <row r="37" spans="1:8">
      <c r="A37" s="628" t="s">
        <v>482</v>
      </c>
      <c r="B37" s="277" t="s">
        <v>470</v>
      </c>
      <c r="C37" s="341">
        <v>0</v>
      </c>
      <c r="D37" s="357">
        <f t="shared" si="3"/>
        <v>0</v>
      </c>
      <c r="E37" s="362"/>
      <c r="F37" s="357">
        <f t="shared" si="4"/>
        <v>0</v>
      </c>
      <c r="G37" s="343">
        <v>0</v>
      </c>
      <c r="H37" s="357">
        <f t="shared" si="5"/>
        <v>0</v>
      </c>
    </row>
    <row r="38" spans="1:8">
      <c r="A38" s="628"/>
      <c r="B38" s="277" t="s">
        <v>471</v>
      </c>
      <c r="C38" s="341">
        <v>0</v>
      </c>
      <c r="D38" s="357">
        <f t="shared" si="3"/>
        <v>0</v>
      </c>
      <c r="E38" s="362"/>
      <c r="F38" s="357">
        <f t="shared" si="4"/>
        <v>0</v>
      </c>
      <c r="G38" s="343">
        <v>0</v>
      </c>
      <c r="H38" s="357">
        <f t="shared" si="5"/>
        <v>0</v>
      </c>
    </row>
    <row r="39" spans="1:8">
      <c r="A39" s="628"/>
      <c r="B39" s="277" t="s">
        <v>472</v>
      </c>
      <c r="C39" s="341">
        <v>0</v>
      </c>
      <c r="D39" s="357">
        <f t="shared" si="3"/>
        <v>0</v>
      </c>
      <c r="E39" s="362"/>
      <c r="F39" s="357">
        <f t="shared" si="4"/>
        <v>0</v>
      </c>
      <c r="G39" s="343">
        <v>0</v>
      </c>
      <c r="H39" s="357">
        <f t="shared" si="5"/>
        <v>0</v>
      </c>
    </row>
    <row r="40" spans="1:8">
      <c r="A40" s="628"/>
      <c r="B40" s="277" t="s">
        <v>473</v>
      </c>
      <c r="C40" s="341">
        <v>0</v>
      </c>
      <c r="D40" s="357">
        <f t="shared" si="3"/>
        <v>0</v>
      </c>
      <c r="E40" s="362"/>
      <c r="F40" s="357">
        <f t="shared" si="4"/>
        <v>0</v>
      </c>
      <c r="G40" s="343">
        <v>0</v>
      </c>
      <c r="H40" s="357">
        <f t="shared" si="5"/>
        <v>0</v>
      </c>
    </row>
    <row r="41" spans="1:8">
      <c r="A41" s="605" t="s">
        <v>382</v>
      </c>
      <c r="B41" s="605"/>
      <c r="C41" s="605"/>
      <c r="D41" s="605"/>
      <c r="E41" s="605"/>
      <c r="F41" s="605"/>
      <c r="G41" s="605"/>
      <c r="H41" s="605"/>
    </row>
    <row r="43" spans="1:8" ht="18">
      <c r="A43" s="609" t="s">
        <v>557</v>
      </c>
      <c r="B43" s="610"/>
      <c r="C43" s="610"/>
      <c r="D43" s="610"/>
      <c r="E43" s="610"/>
      <c r="F43" s="610"/>
      <c r="G43" s="610"/>
      <c r="H43" s="611"/>
    </row>
    <row r="44" spans="1:8">
      <c r="A44" s="612" t="s">
        <v>0</v>
      </c>
      <c r="B44" s="349">
        <v>0.35</v>
      </c>
      <c r="C44" s="349">
        <f>B44+0.05</f>
        <v>0.39999999999999997</v>
      </c>
      <c r="D44" s="349">
        <f t="shared" ref="D44:G44" si="7">C44+0.05</f>
        <v>0.44999999999999996</v>
      </c>
      <c r="E44" s="349">
        <f t="shared" si="7"/>
        <v>0.49999999999999994</v>
      </c>
      <c r="F44" s="349">
        <f t="shared" si="7"/>
        <v>0.54999999999999993</v>
      </c>
      <c r="G44" s="349">
        <f t="shared" si="7"/>
        <v>0.6</v>
      </c>
      <c r="H44" s="349">
        <f>G44+0.05</f>
        <v>0.65</v>
      </c>
    </row>
    <row r="45" spans="1:8">
      <c r="A45" s="613"/>
      <c r="B45" s="327" t="s">
        <v>2</v>
      </c>
      <c r="C45" s="327" t="s">
        <v>3</v>
      </c>
      <c r="D45" s="327" t="s">
        <v>4</v>
      </c>
      <c r="E45" s="327" t="s">
        <v>5</v>
      </c>
      <c r="F45" s="327" t="s">
        <v>6</v>
      </c>
      <c r="G45" s="327" t="s">
        <v>166</v>
      </c>
      <c r="H45" s="327" t="s">
        <v>165</v>
      </c>
    </row>
    <row r="46" spans="1:8">
      <c r="A46" s="332" t="str">
        <f t="shared" ref="A46:A54" si="8">B14</f>
        <v>Onion</v>
      </c>
      <c r="B46" s="357">
        <f t="shared" ref="B46:B54" si="9">H14*$B$44</f>
        <v>0</v>
      </c>
      <c r="C46" s="357">
        <f t="shared" ref="C46:H61" si="10">(B46/B$44)*C$44</f>
        <v>0</v>
      </c>
      <c r="D46" s="357">
        <f t="shared" si="10"/>
        <v>0</v>
      </c>
      <c r="E46" s="357">
        <f t="shared" si="10"/>
        <v>0</v>
      </c>
      <c r="F46" s="357">
        <f t="shared" si="10"/>
        <v>0</v>
      </c>
      <c r="G46" s="357">
        <f t="shared" si="10"/>
        <v>0</v>
      </c>
      <c r="H46" s="357">
        <f t="shared" si="10"/>
        <v>0</v>
      </c>
    </row>
    <row r="47" spans="1:8">
      <c r="A47" s="332" t="str">
        <f t="shared" si="8"/>
        <v>Tomato</v>
      </c>
      <c r="B47" s="357">
        <f t="shared" si="9"/>
        <v>0</v>
      </c>
      <c r="C47" s="357">
        <f t="shared" si="10"/>
        <v>0</v>
      </c>
      <c r="D47" s="357">
        <f t="shared" si="10"/>
        <v>0</v>
      </c>
      <c r="E47" s="357">
        <f t="shared" si="10"/>
        <v>0</v>
      </c>
      <c r="F47" s="357">
        <f t="shared" si="10"/>
        <v>0</v>
      </c>
      <c r="G47" s="357">
        <f t="shared" si="10"/>
        <v>0</v>
      </c>
      <c r="H47" s="357">
        <f t="shared" si="10"/>
        <v>0</v>
      </c>
    </row>
    <row r="48" spans="1:8">
      <c r="A48" s="332" t="str">
        <f t="shared" si="8"/>
        <v>Okra</v>
      </c>
      <c r="B48" s="357">
        <f t="shared" si="9"/>
        <v>0</v>
      </c>
      <c r="C48" s="357">
        <f t="shared" si="10"/>
        <v>0</v>
      </c>
      <c r="D48" s="357">
        <f t="shared" si="10"/>
        <v>0</v>
      </c>
      <c r="E48" s="357">
        <f t="shared" si="10"/>
        <v>0</v>
      </c>
      <c r="F48" s="357">
        <f t="shared" si="10"/>
        <v>0</v>
      </c>
      <c r="G48" s="357">
        <f t="shared" si="10"/>
        <v>0</v>
      </c>
      <c r="H48" s="357">
        <f t="shared" si="10"/>
        <v>0</v>
      </c>
    </row>
    <row r="49" spans="1:8">
      <c r="A49" s="332" t="str">
        <f t="shared" si="8"/>
        <v>Chilli</v>
      </c>
      <c r="B49" s="357">
        <f t="shared" si="9"/>
        <v>0</v>
      </c>
      <c r="C49" s="357">
        <f t="shared" si="10"/>
        <v>0</v>
      </c>
      <c r="D49" s="357">
        <f t="shared" si="10"/>
        <v>0</v>
      </c>
      <c r="E49" s="357">
        <f t="shared" si="10"/>
        <v>0</v>
      </c>
      <c r="F49" s="357">
        <f t="shared" si="10"/>
        <v>0</v>
      </c>
      <c r="G49" s="357">
        <f t="shared" si="10"/>
        <v>0</v>
      </c>
      <c r="H49" s="357">
        <f t="shared" si="10"/>
        <v>0</v>
      </c>
    </row>
    <row r="50" spans="1:8">
      <c r="A50" s="332" t="str">
        <f t="shared" si="8"/>
        <v>Potato</v>
      </c>
      <c r="B50" s="373">
        <f t="shared" si="9"/>
        <v>0</v>
      </c>
      <c r="C50" s="357">
        <f t="shared" si="10"/>
        <v>0</v>
      </c>
      <c r="D50" s="357">
        <f t="shared" si="10"/>
        <v>0</v>
      </c>
      <c r="E50" s="357">
        <f t="shared" si="10"/>
        <v>0</v>
      </c>
      <c r="F50" s="357">
        <f t="shared" si="10"/>
        <v>0</v>
      </c>
      <c r="G50" s="357">
        <f t="shared" si="10"/>
        <v>0</v>
      </c>
      <c r="H50" s="357">
        <f t="shared" si="10"/>
        <v>0</v>
      </c>
    </row>
    <row r="51" spans="1:8">
      <c r="A51" s="357">
        <f t="shared" si="8"/>
        <v>0</v>
      </c>
      <c r="B51" s="357">
        <f t="shared" si="9"/>
        <v>0</v>
      </c>
      <c r="C51" s="357">
        <f t="shared" si="10"/>
        <v>0</v>
      </c>
      <c r="D51" s="357">
        <f t="shared" si="10"/>
        <v>0</v>
      </c>
      <c r="E51" s="357">
        <f t="shared" si="10"/>
        <v>0</v>
      </c>
      <c r="F51" s="357">
        <f t="shared" si="10"/>
        <v>0</v>
      </c>
      <c r="G51" s="357">
        <f t="shared" si="10"/>
        <v>0</v>
      </c>
      <c r="H51" s="357">
        <f t="shared" si="10"/>
        <v>0</v>
      </c>
    </row>
    <row r="52" spans="1:8">
      <c r="A52" s="357">
        <f t="shared" si="8"/>
        <v>0</v>
      </c>
      <c r="B52" s="357">
        <f t="shared" si="9"/>
        <v>0</v>
      </c>
      <c r="C52" s="357">
        <f t="shared" si="10"/>
        <v>0</v>
      </c>
      <c r="D52" s="357">
        <f t="shared" si="10"/>
        <v>0</v>
      </c>
      <c r="E52" s="357">
        <f t="shared" si="10"/>
        <v>0</v>
      </c>
      <c r="F52" s="357">
        <f t="shared" si="10"/>
        <v>0</v>
      </c>
      <c r="G52" s="357">
        <f t="shared" si="10"/>
        <v>0</v>
      </c>
      <c r="H52" s="357">
        <f t="shared" si="10"/>
        <v>0</v>
      </c>
    </row>
    <row r="53" spans="1:8">
      <c r="A53" s="357">
        <f t="shared" si="8"/>
        <v>0</v>
      </c>
      <c r="B53" s="357">
        <f t="shared" si="9"/>
        <v>0</v>
      </c>
      <c r="C53" s="357">
        <f t="shared" si="10"/>
        <v>0</v>
      </c>
      <c r="D53" s="357">
        <f t="shared" si="10"/>
        <v>0</v>
      </c>
      <c r="E53" s="357">
        <f t="shared" si="10"/>
        <v>0</v>
      </c>
      <c r="F53" s="357">
        <f t="shared" si="10"/>
        <v>0</v>
      </c>
      <c r="G53" s="357">
        <f t="shared" si="10"/>
        <v>0</v>
      </c>
      <c r="H53" s="357">
        <f t="shared" si="10"/>
        <v>0</v>
      </c>
    </row>
    <row r="54" spans="1:8">
      <c r="A54" s="357">
        <f t="shared" si="8"/>
        <v>0</v>
      </c>
      <c r="B54" s="357">
        <f t="shared" si="9"/>
        <v>0</v>
      </c>
      <c r="C54" s="357">
        <f t="shared" si="10"/>
        <v>0</v>
      </c>
      <c r="D54" s="357">
        <f t="shared" si="10"/>
        <v>0</v>
      </c>
      <c r="E54" s="357">
        <f t="shared" si="10"/>
        <v>0</v>
      </c>
      <c r="F54" s="357">
        <f t="shared" si="10"/>
        <v>0</v>
      </c>
      <c r="G54" s="357">
        <f t="shared" si="10"/>
        <v>0</v>
      </c>
      <c r="H54" s="357">
        <f t="shared" si="10"/>
        <v>0</v>
      </c>
    </row>
    <row r="55" spans="1:8">
      <c r="A55" s="332" t="str">
        <f t="shared" ref="A55:A62" si="11">B24</f>
        <v>Onion</v>
      </c>
      <c r="B55" s="357">
        <f t="shared" ref="B55:B61" si="12">H24*$B$44</f>
        <v>0</v>
      </c>
      <c r="C55" s="357">
        <f t="shared" si="10"/>
        <v>0</v>
      </c>
      <c r="D55" s="357">
        <f t="shared" si="10"/>
        <v>0</v>
      </c>
      <c r="E55" s="357">
        <f t="shared" si="10"/>
        <v>0</v>
      </c>
      <c r="F55" s="357">
        <f t="shared" si="10"/>
        <v>0</v>
      </c>
      <c r="G55" s="357">
        <f t="shared" si="10"/>
        <v>0</v>
      </c>
      <c r="H55" s="357">
        <f t="shared" si="10"/>
        <v>0</v>
      </c>
    </row>
    <row r="56" spans="1:8">
      <c r="A56" s="332" t="str">
        <f t="shared" si="11"/>
        <v>Tomato</v>
      </c>
      <c r="B56" s="357">
        <f t="shared" si="12"/>
        <v>0</v>
      </c>
      <c r="C56" s="357">
        <f t="shared" si="10"/>
        <v>0</v>
      </c>
      <c r="D56" s="357">
        <f t="shared" si="10"/>
        <v>0</v>
      </c>
      <c r="E56" s="357">
        <f t="shared" si="10"/>
        <v>0</v>
      </c>
      <c r="F56" s="357">
        <f t="shared" si="10"/>
        <v>0</v>
      </c>
      <c r="G56" s="357">
        <f t="shared" si="10"/>
        <v>0</v>
      </c>
      <c r="H56" s="357">
        <f t="shared" si="10"/>
        <v>0</v>
      </c>
    </row>
    <row r="57" spans="1:8">
      <c r="A57" s="332" t="str">
        <f t="shared" si="11"/>
        <v>Okra</v>
      </c>
      <c r="B57" s="357">
        <f t="shared" si="12"/>
        <v>0</v>
      </c>
      <c r="C57" s="357">
        <f t="shared" si="10"/>
        <v>0</v>
      </c>
      <c r="D57" s="357">
        <f t="shared" si="10"/>
        <v>0</v>
      </c>
      <c r="E57" s="357">
        <f t="shared" si="10"/>
        <v>0</v>
      </c>
      <c r="F57" s="357">
        <f t="shared" si="10"/>
        <v>0</v>
      </c>
      <c r="G57" s="357">
        <f t="shared" si="10"/>
        <v>0</v>
      </c>
      <c r="H57" s="357">
        <f t="shared" si="10"/>
        <v>0</v>
      </c>
    </row>
    <row r="58" spans="1:8">
      <c r="A58" s="332" t="str">
        <f t="shared" si="11"/>
        <v>Chilli</v>
      </c>
      <c r="B58" s="357">
        <f t="shared" si="12"/>
        <v>0</v>
      </c>
      <c r="C58" s="357">
        <f t="shared" si="10"/>
        <v>0</v>
      </c>
      <c r="D58" s="357">
        <f t="shared" si="10"/>
        <v>0</v>
      </c>
      <c r="E58" s="357">
        <f t="shared" si="10"/>
        <v>0</v>
      </c>
      <c r="F58" s="357">
        <f t="shared" si="10"/>
        <v>0</v>
      </c>
      <c r="G58" s="357">
        <f t="shared" si="10"/>
        <v>0</v>
      </c>
      <c r="H58" s="357">
        <f t="shared" si="10"/>
        <v>0</v>
      </c>
    </row>
    <row r="59" spans="1:8">
      <c r="A59" s="332" t="str">
        <f t="shared" si="11"/>
        <v>Brinjal</v>
      </c>
      <c r="B59" s="357">
        <f t="shared" si="12"/>
        <v>0</v>
      </c>
      <c r="C59" s="357">
        <f t="shared" si="10"/>
        <v>0</v>
      </c>
      <c r="D59" s="357">
        <f t="shared" si="10"/>
        <v>0</v>
      </c>
      <c r="E59" s="357">
        <f t="shared" si="10"/>
        <v>0</v>
      </c>
      <c r="F59" s="357">
        <f t="shared" si="10"/>
        <v>0</v>
      </c>
      <c r="G59" s="357">
        <f t="shared" si="10"/>
        <v>0</v>
      </c>
      <c r="H59" s="357">
        <f t="shared" si="10"/>
        <v>0</v>
      </c>
    </row>
    <row r="60" spans="1:8">
      <c r="A60" s="357">
        <f t="shared" si="11"/>
        <v>0</v>
      </c>
      <c r="B60" s="357">
        <f t="shared" si="12"/>
        <v>0</v>
      </c>
      <c r="C60" s="357">
        <f t="shared" si="10"/>
        <v>0</v>
      </c>
      <c r="D60" s="357">
        <f t="shared" si="10"/>
        <v>0</v>
      </c>
      <c r="E60" s="357">
        <f t="shared" si="10"/>
        <v>0</v>
      </c>
      <c r="F60" s="357">
        <f t="shared" si="10"/>
        <v>0</v>
      </c>
      <c r="G60" s="357">
        <f t="shared" si="10"/>
        <v>0</v>
      </c>
      <c r="H60" s="357">
        <f t="shared" si="10"/>
        <v>0</v>
      </c>
    </row>
    <row r="61" spans="1:8">
      <c r="A61" s="357">
        <f t="shared" si="11"/>
        <v>0</v>
      </c>
      <c r="B61" s="357">
        <f t="shared" si="12"/>
        <v>0</v>
      </c>
      <c r="C61" s="357">
        <f t="shared" si="10"/>
        <v>0</v>
      </c>
      <c r="D61" s="357">
        <f t="shared" si="10"/>
        <v>0</v>
      </c>
      <c r="E61" s="357">
        <f t="shared" si="10"/>
        <v>0</v>
      </c>
      <c r="F61" s="357">
        <f t="shared" si="10"/>
        <v>0</v>
      </c>
      <c r="G61" s="357">
        <f t="shared" si="10"/>
        <v>0</v>
      </c>
      <c r="H61" s="357">
        <f t="shared" si="10"/>
        <v>0</v>
      </c>
    </row>
    <row r="62" spans="1:8">
      <c r="A62" s="357">
        <f t="shared" si="11"/>
        <v>0</v>
      </c>
      <c r="B62" s="357">
        <f t="shared" ref="B62" si="13">H31*$B$44</f>
        <v>0</v>
      </c>
      <c r="C62" s="357">
        <f t="shared" ref="C62:H70" si="14">(B62/B$44)*C$44</f>
        <v>0</v>
      </c>
      <c r="D62" s="357">
        <f t="shared" si="14"/>
        <v>0</v>
      </c>
      <c r="E62" s="357">
        <f t="shared" si="14"/>
        <v>0</v>
      </c>
      <c r="F62" s="357">
        <f t="shared" si="14"/>
        <v>0</v>
      </c>
      <c r="G62" s="357">
        <f t="shared" si="14"/>
        <v>0</v>
      </c>
      <c r="H62" s="357">
        <f t="shared" si="14"/>
        <v>0</v>
      </c>
    </row>
    <row r="63" spans="1:8">
      <c r="A63" s="357">
        <f t="shared" ref="A63:A66" si="15">B33</f>
        <v>0</v>
      </c>
      <c r="B63" s="357">
        <f t="shared" ref="B63:B70" si="16">H33*$B$44</f>
        <v>0</v>
      </c>
      <c r="C63" s="357">
        <f t="shared" si="14"/>
        <v>0</v>
      </c>
      <c r="D63" s="357">
        <f t="shared" ref="D63:D66" si="17">(C63/C$44)*D$44</f>
        <v>0</v>
      </c>
      <c r="E63" s="357">
        <f t="shared" ref="E63:E66" si="18">(D63/D$44)*E$44</f>
        <v>0</v>
      </c>
      <c r="F63" s="357">
        <f t="shared" ref="F63:F66" si="19">(E63/E$44)*F$44</f>
        <v>0</v>
      </c>
      <c r="G63" s="357">
        <f t="shared" ref="G63:G66" si="20">(F63/F$44)*G$44</f>
        <v>0</v>
      </c>
      <c r="H63" s="357">
        <f t="shared" ref="H63:H66" si="21">(G63/G$44)*H$44</f>
        <v>0</v>
      </c>
    </row>
    <row r="64" spans="1:8">
      <c r="A64" s="357">
        <f t="shared" si="15"/>
        <v>0</v>
      </c>
      <c r="B64" s="357">
        <f t="shared" si="16"/>
        <v>0</v>
      </c>
      <c r="C64" s="357">
        <f t="shared" si="14"/>
        <v>0</v>
      </c>
      <c r="D64" s="357">
        <f t="shared" si="17"/>
        <v>0</v>
      </c>
      <c r="E64" s="357">
        <f t="shared" si="18"/>
        <v>0</v>
      </c>
      <c r="F64" s="357">
        <f t="shared" si="19"/>
        <v>0</v>
      </c>
      <c r="G64" s="357">
        <f t="shared" si="20"/>
        <v>0</v>
      </c>
      <c r="H64" s="357">
        <f t="shared" si="21"/>
        <v>0</v>
      </c>
    </row>
    <row r="65" spans="1:8">
      <c r="A65" s="357">
        <f t="shared" si="15"/>
        <v>0</v>
      </c>
      <c r="B65" s="357">
        <f t="shared" si="16"/>
        <v>0</v>
      </c>
      <c r="C65" s="357">
        <f t="shared" si="14"/>
        <v>0</v>
      </c>
      <c r="D65" s="357">
        <f t="shared" si="17"/>
        <v>0</v>
      </c>
      <c r="E65" s="357">
        <f t="shared" si="18"/>
        <v>0</v>
      </c>
      <c r="F65" s="357">
        <f t="shared" si="19"/>
        <v>0</v>
      </c>
      <c r="G65" s="357">
        <f t="shared" si="20"/>
        <v>0</v>
      </c>
      <c r="H65" s="357">
        <f t="shared" si="21"/>
        <v>0</v>
      </c>
    </row>
    <row r="66" spans="1:8">
      <c r="A66" s="357">
        <f t="shared" si="15"/>
        <v>0</v>
      </c>
      <c r="B66" s="357">
        <f t="shared" si="16"/>
        <v>0</v>
      </c>
      <c r="C66" s="357">
        <f t="shared" si="14"/>
        <v>0</v>
      </c>
      <c r="D66" s="357">
        <f t="shared" si="17"/>
        <v>0</v>
      </c>
      <c r="E66" s="357">
        <f t="shared" si="18"/>
        <v>0</v>
      </c>
      <c r="F66" s="357">
        <f t="shared" si="19"/>
        <v>0</v>
      </c>
      <c r="G66" s="357">
        <f t="shared" si="20"/>
        <v>0</v>
      </c>
      <c r="H66" s="357">
        <f t="shared" si="21"/>
        <v>0</v>
      </c>
    </row>
    <row r="67" spans="1:8">
      <c r="A67" s="332" t="str">
        <f>B37</f>
        <v>Pomegranate</v>
      </c>
      <c r="B67" s="357">
        <f t="shared" si="16"/>
        <v>0</v>
      </c>
      <c r="C67" s="357">
        <f t="shared" si="14"/>
        <v>0</v>
      </c>
      <c r="D67" s="357">
        <f t="shared" si="14"/>
        <v>0</v>
      </c>
      <c r="E67" s="357">
        <f t="shared" si="14"/>
        <v>0</v>
      </c>
      <c r="F67" s="357">
        <f t="shared" si="14"/>
        <v>0</v>
      </c>
      <c r="G67" s="357">
        <f t="shared" si="14"/>
        <v>0</v>
      </c>
      <c r="H67" s="357">
        <f t="shared" si="14"/>
        <v>0</v>
      </c>
    </row>
    <row r="68" spans="1:8">
      <c r="A68" s="332" t="str">
        <f t="shared" ref="A68:A70" si="22">B38</f>
        <v>Custard Apple</v>
      </c>
      <c r="B68" s="357">
        <f t="shared" si="16"/>
        <v>0</v>
      </c>
      <c r="C68" s="357">
        <f t="shared" si="14"/>
        <v>0</v>
      </c>
      <c r="D68" s="357">
        <f t="shared" si="14"/>
        <v>0</v>
      </c>
      <c r="E68" s="357">
        <f t="shared" si="14"/>
        <v>0</v>
      </c>
      <c r="F68" s="357">
        <f t="shared" si="14"/>
        <v>0</v>
      </c>
      <c r="G68" s="357">
        <f t="shared" si="14"/>
        <v>0</v>
      </c>
      <c r="H68" s="357">
        <f t="shared" si="14"/>
        <v>0</v>
      </c>
    </row>
    <row r="69" spans="1:8">
      <c r="A69" s="332" t="str">
        <f t="shared" si="22"/>
        <v>Guava</v>
      </c>
      <c r="B69" s="357">
        <f t="shared" si="16"/>
        <v>0</v>
      </c>
      <c r="C69" s="357">
        <f t="shared" si="14"/>
        <v>0</v>
      </c>
      <c r="D69" s="357">
        <f t="shared" si="14"/>
        <v>0</v>
      </c>
      <c r="E69" s="357">
        <f t="shared" si="14"/>
        <v>0</v>
      </c>
      <c r="F69" s="357">
        <f t="shared" si="14"/>
        <v>0</v>
      </c>
      <c r="G69" s="357">
        <f t="shared" si="14"/>
        <v>0</v>
      </c>
      <c r="H69" s="357">
        <f t="shared" si="14"/>
        <v>0</v>
      </c>
    </row>
    <row r="70" spans="1:8">
      <c r="A70" s="332" t="str">
        <f t="shared" si="22"/>
        <v>Citrus</v>
      </c>
      <c r="B70" s="357">
        <f t="shared" si="16"/>
        <v>0</v>
      </c>
      <c r="C70" s="357">
        <f t="shared" si="14"/>
        <v>0</v>
      </c>
      <c r="D70" s="357">
        <f t="shared" si="14"/>
        <v>0</v>
      </c>
      <c r="E70" s="357">
        <f t="shared" ref="E70" si="23">(D70/D$44)*E$44</f>
        <v>0</v>
      </c>
      <c r="F70" s="357">
        <f t="shared" ref="F70" si="24">(E70/E$44)*F$44</f>
        <v>0</v>
      </c>
      <c r="G70" s="357">
        <f t="shared" ref="G70:H70" si="25">(F70/F$44)*G$44</f>
        <v>0</v>
      </c>
      <c r="H70" s="357">
        <f t="shared" si="25"/>
        <v>0</v>
      </c>
    </row>
    <row r="71" spans="1:8" ht="18">
      <c r="A71" s="614" t="s">
        <v>558</v>
      </c>
      <c r="B71" s="615"/>
      <c r="C71" s="615"/>
      <c r="D71" s="615"/>
      <c r="E71" s="615"/>
      <c r="F71" s="615"/>
      <c r="G71" s="615"/>
      <c r="H71" s="616"/>
    </row>
    <row r="72" spans="1:8">
      <c r="A72" s="617" t="s">
        <v>0</v>
      </c>
      <c r="B72" s="351">
        <v>0.05</v>
      </c>
      <c r="C72" s="351">
        <f>B72+0.05</f>
        <v>0.1</v>
      </c>
      <c r="D72" s="351">
        <f t="shared" ref="D72:G72" si="26">C72+0.05</f>
        <v>0.15000000000000002</v>
      </c>
      <c r="E72" s="351">
        <f t="shared" si="26"/>
        <v>0.2</v>
      </c>
      <c r="F72" s="351">
        <f t="shared" si="26"/>
        <v>0.25</v>
      </c>
      <c r="G72" s="351">
        <f t="shared" si="26"/>
        <v>0.3</v>
      </c>
      <c r="H72" s="351">
        <f>G72+0.05</f>
        <v>0.35</v>
      </c>
    </row>
    <row r="73" spans="1:8">
      <c r="A73" s="618"/>
      <c r="B73" s="327" t="s">
        <v>2</v>
      </c>
      <c r="C73" s="327" t="s">
        <v>3</v>
      </c>
      <c r="D73" s="327" t="s">
        <v>4</v>
      </c>
      <c r="E73" s="327" t="s">
        <v>5</v>
      </c>
      <c r="F73" s="327" t="s">
        <v>6</v>
      </c>
      <c r="G73" s="327" t="s">
        <v>166</v>
      </c>
      <c r="H73" s="327" t="s">
        <v>165</v>
      </c>
    </row>
    <row r="74" spans="1:8" s="352" customFormat="1">
      <c r="A74" s="332" t="str">
        <f t="shared" ref="A74:A98" si="27">A46</f>
        <v>Onion</v>
      </c>
      <c r="B74" s="357">
        <f t="shared" ref="B74:H74" si="28">H14*$B$72</f>
        <v>0</v>
      </c>
      <c r="C74" s="357">
        <f t="shared" si="28"/>
        <v>0</v>
      </c>
      <c r="D74" s="357">
        <f t="shared" si="28"/>
        <v>0</v>
      </c>
      <c r="E74" s="357">
        <f t="shared" si="28"/>
        <v>0</v>
      </c>
      <c r="F74" s="357">
        <f t="shared" si="28"/>
        <v>0</v>
      </c>
      <c r="G74" s="357">
        <f t="shared" si="28"/>
        <v>0</v>
      </c>
      <c r="H74" s="357">
        <f t="shared" si="28"/>
        <v>0</v>
      </c>
    </row>
    <row r="75" spans="1:8">
      <c r="A75" s="332" t="str">
        <f t="shared" si="27"/>
        <v>Tomato</v>
      </c>
      <c r="B75" s="357">
        <f>H15*$B$72</f>
        <v>0</v>
      </c>
      <c r="C75" s="357">
        <f>(B75/B72)*C72</f>
        <v>0</v>
      </c>
      <c r="D75" s="357">
        <f t="shared" ref="D75:G75" si="29">(C75/C72)*D72</f>
        <v>0</v>
      </c>
      <c r="E75" s="357">
        <f t="shared" si="29"/>
        <v>0</v>
      </c>
      <c r="F75" s="357">
        <f t="shared" si="29"/>
        <v>0</v>
      </c>
      <c r="G75" s="357">
        <f t="shared" si="29"/>
        <v>0</v>
      </c>
      <c r="H75" s="357">
        <f>(G75/G72)*H72</f>
        <v>0</v>
      </c>
    </row>
    <row r="76" spans="1:8">
      <c r="A76" s="332" t="str">
        <f t="shared" si="27"/>
        <v>Okra</v>
      </c>
      <c r="B76" s="357">
        <f t="shared" ref="B76:B82" si="30">H16*$B$72</f>
        <v>0</v>
      </c>
      <c r="C76" s="357">
        <f>(B76/B72)*C72</f>
        <v>0</v>
      </c>
      <c r="D76" s="357">
        <f>(C76/C72)*D72</f>
        <v>0</v>
      </c>
      <c r="E76" s="357">
        <f t="shared" ref="E76:G76" si="31">(D76/D72)*E72</f>
        <v>0</v>
      </c>
      <c r="F76" s="357">
        <f t="shared" si="31"/>
        <v>0</v>
      </c>
      <c r="G76" s="357">
        <f t="shared" si="31"/>
        <v>0</v>
      </c>
      <c r="H76" s="357">
        <f>(G76/G72)*H72</f>
        <v>0</v>
      </c>
    </row>
    <row r="77" spans="1:8">
      <c r="A77" s="332" t="str">
        <f t="shared" si="27"/>
        <v>Chilli</v>
      </c>
      <c r="B77" s="357">
        <f>H17*$B$72</f>
        <v>0</v>
      </c>
      <c r="C77" s="357">
        <f t="shared" ref="C77:H95" si="32">(B77/B$72)*C$72</f>
        <v>0</v>
      </c>
      <c r="D77" s="357">
        <f t="shared" si="32"/>
        <v>0</v>
      </c>
      <c r="E77" s="357">
        <f t="shared" si="32"/>
        <v>0</v>
      </c>
      <c r="F77" s="357">
        <f t="shared" si="32"/>
        <v>0</v>
      </c>
      <c r="G77" s="357">
        <f t="shared" si="32"/>
        <v>0</v>
      </c>
      <c r="H77" s="357">
        <f t="shared" si="32"/>
        <v>0</v>
      </c>
    </row>
    <row r="78" spans="1:8">
      <c r="A78" s="332" t="str">
        <f t="shared" si="27"/>
        <v>Potato</v>
      </c>
      <c r="B78" s="357">
        <f t="shared" si="30"/>
        <v>0</v>
      </c>
      <c r="C78" s="357">
        <f t="shared" si="32"/>
        <v>0</v>
      </c>
      <c r="D78" s="357">
        <f t="shared" si="32"/>
        <v>0</v>
      </c>
      <c r="E78" s="357">
        <f t="shared" si="32"/>
        <v>0</v>
      </c>
      <c r="F78" s="357">
        <f t="shared" si="32"/>
        <v>0</v>
      </c>
      <c r="G78" s="357">
        <f t="shared" si="32"/>
        <v>0</v>
      </c>
      <c r="H78" s="357">
        <f t="shared" si="32"/>
        <v>0</v>
      </c>
    </row>
    <row r="79" spans="1:8">
      <c r="A79" s="357">
        <f t="shared" si="27"/>
        <v>0</v>
      </c>
      <c r="B79" s="357">
        <f>H19*$B$72</f>
        <v>0</v>
      </c>
      <c r="C79" s="357">
        <f t="shared" si="32"/>
        <v>0</v>
      </c>
      <c r="D79" s="357">
        <f t="shared" si="32"/>
        <v>0</v>
      </c>
      <c r="E79" s="357">
        <f t="shared" si="32"/>
        <v>0</v>
      </c>
      <c r="F79" s="357">
        <f t="shared" si="32"/>
        <v>0</v>
      </c>
      <c r="G79" s="357">
        <f t="shared" si="32"/>
        <v>0</v>
      </c>
      <c r="H79" s="357">
        <f t="shared" si="32"/>
        <v>0</v>
      </c>
    </row>
    <row r="80" spans="1:8">
      <c r="A80" s="357">
        <f t="shared" si="27"/>
        <v>0</v>
      </c>
      <c r="B80" s="357">
        <f>H20*$B$72</f>
        <v>0</v>
      </c>
      <c r="C80" s="357">
        <f t="shared" si="32"/>
        <v>0</v>
      </c>
      <c r="D80" s="357">
        <f t="shared" si="32"/>
        <v>0</v>
      </c>
      <c r="E80" s="357">
        <f t="shared" si="32"/>
        <v>0</v>
      </c>
      <c r="F80" s="357">
        <f t="shared" si="32"/>
        <v>0</v>
      </c>
      <c r="G80" s="357">
        <f t="shared" si="32"/>
        <v>0</v>
      </c>
      <c r="H80" s="357">
        <f t="shared" si="32"/>
        <v>0</v>
      </c>
    </row>
    <row r="81" spans="1:8">
      <c r="A81" s="357">
        <f t="shared" si="27"/>
        <v>0</v>
      </c>
      <c r="B81" s="357">
        <f t="shared" si="30"/>
        <v>0</v>
      </c>
      <c r="C81" s="357">
        <f t="shared" si="32"/>
        <v>0</v>
      </c>
      <c r="D81" s="357">
        <f t="shared" si="32"/>
        <v>0</v>
      </c>
      <c r="E81" s="357">
        <f t="shared" si="32"/>
        <v>0</v>
      </c>
      <c r="F81" s="357">
        <f t="shared" si="32"/>
        <v>0</v>
      </c>
      <c r="G81" s="357">
        <f t="shared" si="32"/>
        <v>0</v>
      </c>
      <c r="H81" s="357">
        <f t="shared" si="32"/>
        <v>0</v>
      </c>
    </row>
    <row r="82" spans="1:8">
      <c r="A82" s="357">
        <f t="shared" si="27"/>
        <v>0</v>
      </c>
      <c r="B82" s="357">
        <f t="shared" si="30"/>
        <v>0</v>
      </c>
      <c r="C82" s="357">
        <f t="shared" si="32"/>
        <v>0</v>
      </c>
      <c r="D82" s="357">
        <f t="shared" si="32"/>
        <v>0</v>
      </c>
      <c r="E82" s="357">
        <f t="shared" si="32"/>
        <v>0</v>
      </c>
      <c r="F82" s="357">
        <f t="shared" si="32"/>
        <v>0</v>
      </c>
      <c r="G82" s="357">
        <f t="shared" si="32"/>
        <v>0</v>
      </c>
      <c r="H82" s="357">
        <f t="shared" si="32"/>
        <v>0</v>
      </c>
    </row>
    <row r="83" spans="1:8">
      <c r="A83" s="332" t="str">
        <f t="shared" si="27"/>
        <v>Onion</v>
      </c>
      <c r="B83" s="357">
        <f t="shared" ref="B83:B90" si="33">H24*$B$72</f>
        <v>0</v>
      </c>
      <c r="C83" s="357">
        <f t="shared" si="32"/>
        <v>0</v>
      </c>
      <c r="D83" s="357">
        <f t="shared" si="32"/>
        <v>0</v>
      </c>
      <c r="E83" s="357">
        <f t="shared" si="32"/>
        <v>0</v>
      </c>
      <c r="F83" s="357">
        <f t="shared" si="32"/>
        <v>0</v>
      </c>
      <c r="G83" s="357">
        <f t="shared" si="32"/>
        <v>0</v>
      </c>
      <c r="H83" s="357">
        <f t="shared" si="32"/>
        <v>0</v>
      </c>
    </row>
    <row r="84" spans="1:8">
      <c r="A84" s="332" t="str">
        <f t="shared" si="27"/>
        <v>Tomato</v>
      </c>
      <c r="B84" s="357">
        <f t="shared" si="33"/>
        <v>0</v>
      </c>
      <c r="C84" s="357">
        <f t="shared" si="32"/>
        <v>0</v>
      </c>
      <c r="D84" s="357">
        <f t="shared" si="32"/>
        <v>0</v>
      </c>
      <c r="E84" s="357">
        <f t="shared" si="32"/>
        <v>0</v>
      </c>
      <c r="F84" s="357">
        <f t="shared" si="32"/>
        <v>0</v>
      </c>
      <c r="G84" s="357">
        <f t="shared" si="32"/>
        <v>0</v>
      </c>
      <c r="H84" s="357">
        <f t="shared" si="32"/>
        <v>0</v>
      </c>
    </row>
    <row r="85" spans="1:8">
      <c r="A85" s="332" t="str">
        <f t="shared" si="27"/>
        <v>Okra</v>
      </c>
      <c r="B85" s="357">
        <f t="shared" si="33"/>
        <v>0</v>
      </c>
      <c r="C85" s="357">
        <f t="shared" si="32"/>
        <v>0</v>
      </c>
      <c r="D85" s="357">
        <f t="shared" si="32"/>
        <v>0</v>
      </c>
      <c r="E85" s="357">
        <f t="shared" si="32"/>
        <v>0</v>
      </c>
      <c r="F85" s="357">
        <f t="shared" si="32"/>
        <v>0</v>
      </c>
      <c r="G85" s="357">
        <f t="shared" si="32"/>
        <v>0</v>
      </c>
      <c r="H85" s="357">
        <f t="shared" si="32"/>
        <v>0</v>
      </c>
    </row>
    <row r="86" spans="1:8">
      <c r="A86" s="332" t="str">
        <f t="shared" si="27"/>
        <v>Chilli</v>
      </c>
      <c r="B86" s="357">
        <f t="shared" si="33"/>
        <v>0</v>
      </c>
      <c r="C86" s="357">
        <f t="shared" si="32"/>
        <v>0</v>
      </c>
      <c r="D86" s="357">
        <f t="shared" si="32"/>
        <v>0</v>
      </c>
      <c r="E86" s="357">
        <f t="shared" si="32"/>
        <v>0</v>
      </c>
      <c r="F86" s="357">
        <f t="shared" si="32"/>
        <v>0</v>
      </c>
      <c r="G86" s="357">
        <f t="shared" si="32"/>
        <v>0</v>
      </c>
      <c r="H86" s="357">
        <f t="shared" si="32"/>
        <v>0</v>
      </c>
    </row>
    <row r="87" spans="1:8">
      <c r="A87" s="332" t="str">
        <f t="shared" si="27"/>
        <v>Brinjal</v>
      </c>
      <c r="B87" s="357">
        <f t="shared" si="33"/>
        <v>0</v>
      </c>
      <c r="C87" s="357">
        <f t="shared" si="32"/>
        <v>0</v>
      </c>
      <c r="D87" s="357">
        <f t="shared" si="32"/>
        <v>0</v>
      </c>
      <c r="E87" s="357">
        <f t="shared" si="32"/>
        <v>0</v>
      </c>
      <c r="F87" s="357">
        <f t="shared" si="32"/>
        <v>0</v>
      </c>
      <c r="G87" s="357">
        <f t="shared" si="32"/>
        <v>0</v>
      </c>
      <c r="H87" s="357">
        <f t="shared" si="32"/>
        <v>0</v>
      </c>
    </row>
    <row r="88" spans="1:8">
      <c r="A88" s="357">
        <f t="shared" si="27"/>
        <v>0</v>
      </c>
      <c r="B88" s="357">
        <f t="shared" si="33"/>
        <v>0</v>
      </c>
      <c r="C88" s="357">
        <f t="shared" si="32"/>
        <v>0</v>
      </c>
      <c r="D88" s="357">
        <f t="shared" si="32"/>
        <v>0</v>
      </c>
      <c r="E88" s="357">
        <f t="shared" si="32"/>
        <v>0</v>
      </c>
      <c r="F88" s="357">
        <f t="shared" si="32"/>
        <v>0</v>
      </c>
      <c r="G88" s="357">
        <f t="shared" si="32"/>
        <v>0</v>
      </c>
      <c r="H88" s="357">
        <f t="shared" si="32"/>
        <v>0</v>
      </c>
    </row>
    <row r="89" spans="1:8">
      <c r="A89" s="357">
        <f t="shared" si="27"/>
        <v>0</v>
      </c>
      <c r="B89" s="357">
        <f t="shared" si="33"/>
        <v>0</v>
      </c>
      <c r="C89" s="357">
        <f t="shared" si="32"/>
        <v>0</v>
      </c>
      <c r="D89" s="357">
        <f t="shared" si="32"/>
        <v>0</v>
      </c>
      <c r="E89" s="357">
        <f t="shared" si="32"/>
        <v>0</v>
      </c>
      <c r="F89" s="357">
        <f t="shared" si="32"/>
        <v>0</v>
      </c>
      <c r="G89" s="357">
        <f t="shared" si="32"/>
        <v>0</v>
      </c>
      <c r="H89" s="357">
        <f t="shared" ref="H89:H94" si="34">(G89/G$72)*H$72</f>
        <v>0</v>
      </c>
    </row>
    <row r="90" spans="1:8">
      <c r="A90" s="357">
        <f t="shared" si="27"/>
        <v>0</v>
      </c>
      <c r="B90" s="357">
        <f t="shared" si="33"/>
        <v>0</v>
      </c>
      <c r="C90" s="357">
        <f t="shared" si="32"/>
        <v>0</v>
      </c>
      <c r="D90" s="357">
        <f t="shared" si="32"/>
        <v>0</v>
      </c>
      <c r="E90" s="357">
        <f t="shared" si="32"/>
        <v>0</v>
      </c>
      <c r="F90" s="357">
        <f t="shared" si="32"/>
        <v>0</v>
      </c>
      <c r="G90" s="357">
        <f t="shared" si="32"/>
        <v>0</v>
      </c>
      <c r="H90" s="357">
        <f t="shared" si="34"/>
        <v>0</v>
      </c>
    </row>
    <row r="91" spans="1:8">
      <c r="A91" s="357">
        <f t="shared" si="27"/>
        <v>0</v>
      </c>
      <c r="B91" s="357">
        <f t="shared" ref="B91:B98" si="35">H33*$B$72</f>
        <v>0</v>
      </c>
      <c r="C91" s="357">
        <f t="shared" si="32"/>
        <v>0</v>
      </c>
      <c r="D91" s="357">
        <f t="shared" ref="D91:D94" si="36">(C91/C$72)*D$72</f>
        <v>0</v>
      </c>
      <c r="E91" s="357">
        <f t="shared" ref="E91:E94" si="37">(D91/D$72)*E$72</f>
        <v>0</v>
      </c>
      <c r="F91" s="357">
        <f t="shared" ref="F91:F94" si="38">(E91/E$72)*F$72</f>
        <v>0</v>
      </c>
      <c r="G91" s="357">
        <f t="shared" ref="G91:G94" si="39">(F91/F$72)*G$72</f>
        <v>0</v>
      </c>
      <c r="H91" s="357">
        <f t="shared" si="34"/>
        <v>0</v>
      </c>
    </row>
    <row r="92" spans="1:8">
      <c r="A92" s="357">
        <f t="shared" si="27"/>
        <v>0</v>
      </c>
      <c r="B92" s="357">
        <f t="shared" si="35"/>
        <v>0</v>
      </c>
      <c r="C92" s="357">
        <f t="shared" si="32"/>
        <v>0</v>
      </c>
      <c r="D92" s="357">
        <f t="shared" si="36"/>
        <v>0</v>
      </c>
      <c r="E92" s="357">
        <f t="shared" si="37"/>
        <v>0</v>
      </c>
      <c r="F92" s="357">
        <f t="shared" si="38"/>
        <v>0</v>
      </c>
      <c r="G92" s="357">
        <f t="shared" si="39"/>
        <v>0</v>
      </c>
      <c r="H92" s="357">
        <f t="shared" si="34"/>
        <v>0</v>
      </c>
    </row>
    <row r="93" spans="1:8">
      <c r="A93" s="357">
        <f t="shared" si="27"/>
        <v>0</v>
      </c>
      <c r="B93" s="357">
        <f t="shared" si="35"/>
        <v>0</v>
      </c>
      <c r="C93" s="357">
        <f t="shared" si="32"/>
        <v>0</v>
      </c>
      <c r="D93" s="357">
        <f t="shared" si="36"/>
        <v>0</v>
      </c>
      <c r="E93" s="357">
        <f t="shared" si="37"/>
        <v>0</v>
      </c>
      <c r="F93" s="357">
        <f t="shared" si="38"/>
        <v>0</v>
      </c>
      <c r="G93" s="357">
        <f t="shared" si="39"/>
        <v>0</v>
      </c>
      <c r="H93" s="357">
        <f t="shared" si="34"/>
        <v>0</v>
      </c>
    </row>
    <row r="94" spans="1:8">
      <c r="A94" s="357">
        <f t="shared" si="27"/>
        <v>0</v>
      </c>
      <c r="B94" s="357">
        <f t="shared" si="35"/>
        <v>0</v>
      </c>
      <c r="C94" s="357">
        <f t="shared" si="32"/>
        <v>0</v>
      </c>
      <c r="D94" s="357">
        <f t="shared" si="36"/>
        <v>0</v>
      </c>
      <c r="E94" s="357">
        <f t="shared" si="37"/>
        <v>0</v>
      </c>
      <c r="F94" s="357">
        <f t="shared" si="38"/>
        <v>0</v>
      </c>
      <c r="G94" s="357">
        <f t="shared" si="39"/>
        <v>0</v>
      </c>
      <c r="H94" s="357">
        <f t="shared" si="34"/>
        <v>0</v>
      </c>
    </row>
    <row r="95" spans="1:8">
      <c r="A95" s="332" t="str">
        <f t="shared" si="27"/>
        <v>Pomegranate</v>
      </c>
      <c r="B95" s="357">
        <f t="shared" si="35"/>
        <v>0</v>
      </c>
      <c r="C95" s="357">
        <f t="shared" si="32"/>
        <v>0</v>
      </c>
      <c r="D95" s="357">
        <f t="shared" si="32"/>
        <v>0</v>
      </c>
      <c r="E95" s="357">
        <f t="shared" si="32"/>
        <v>0</v>
      </c>
      <c r="F95" s="357">
        <f t="shared" si="32"/>
        <v>0</v>
      </c>
      <c r="G95" s="357">
        <f t="shared" si="32"/>
        <v>0</v>
      </c>
      <c r="H95" s="357">
        <f t="shared" si="32"/>
        <v>0</v>
      </c>
    </row>
    <row r="96" spans="1:8">
      <c r="A96" s="332" t="str">
        <f t="shared" si="27"/>
        <v>Custard Apple</v>
      </c>
      <c r="B96" s="357">
        <f t="shared" si="35"/>
        <v>0</v>
      </c>
      <c r="C96" s="357">
        <f t="shared" ref="C96:H98" si="40">(B96/B$72)*C$72</f>
        <v>0</v>
      </c>
      <c r="D96" s="357">
        <f t="shared" si="40"/>
        <v>0</v>
      </c>
      <c r="E96" s="357">
        <f t="shared" si="40"/>
        <v>0</v>
      </c>
      <c r="F96" s="357">
        <f t="shared" si="40"/>
        <v>0</v>
      </c>
      <c r="G96" s="357">
        <f t="shared" si="40"/>
        <v>0</v>
      </c>
      <c r="H96" s="357">
        <f t="shared" si="40"/>
        <v>0</v>
      </c>
    </row>
    <row r="97" spans="1:9">
      <c r="A97" s="332" t="str">
        <f t="shared" si="27"/>
        <v>Guava</v>
      </c>
      <c r="B97" s="357">
        <f t="shared" si="35"/>
        <v>0</v>
      </c>
      <c r="C97" s="357">
        <f t="shared" si="40"/>
        <v>0</v>
      </c>
      <c r="D97" s="357">
        <f t="shared" si="40"/>
        <v>0</v>
      </c>
      <c r="E97" s="357">
        <f t="shared" si="40"/>
        <v>0</v>
      </c>
      <c r="F97" s="357">
        <f t="shared" si="40"/>
        <v>0</v>
      </c>
      <c r="G97" s="357">
        <f t="shared" si="40"/>
        <v>0</v>
      </c>
      <c r="H97" s="357">
        <f t="shared" si="40"/>
        <v>0</v>
      </c>
    </row>
    <row r="98" spans="1:9">
      <c r="A98" s="332" t="str">
        <f t="shared" si="27"/>
        <v>Citrus</v>
      </c>
      <c r="B98" s="357">
        <f t="shared" si="35"/>
        <v>0</v>
      </c>
      <c r="C98" s="357">
        <f t="shared" si="40"/>
        <v>0</v>
      </c>
      <c r="D98" s="357">
        <f t="shared" ref="D98" si="41">(C98/C$72)*D$72</f>
        <v>0</v>
      </c>
      <c r="E98" s="357">
        <f t="shared" ref="E98" si="42">(D98/D$72)*E$72</f>
        <v>0</v>
      </c>
      <c r="F98" s="357">
        <f t="shared" ref="F98" si="43">(E98/E$72)*F$72</f>
        <v>0</v>
      </c>
      <c r="G98" s="357">
        <f t="shared" ref="G98" si="44">(F98/F$72)*G$72</f>
        <v>0</v>
      </c>
      <c r="H98" s="357">
        <f t="shared" ref="H98" si="45">(G98/G$72)*H$72</f>
        <v>0</v>
      </c>
      <c r="I98" s="353"/>
    </row>
    <row r="99" spans="1:9" ht="18">
      <c r="A99" s="614" t="s">
        <v>559</v>
      </c>
      <c r="B99" s="615"/>
      <c r="C99" s="615"/>
      <c r="D99" s="615"/>
      <c r="E99" s="615"/>
      <c r="F99" s="615"/>
      <c r="G99" s="615"/>
      <c r="H99" s="616"/>
    </row>
    <row r="100" spans="1:9">
      <c r="A100" s="603" t="s">
        <v>0</v>
      </c>
      <c r="B100" s="349">
        <v>0.65</v>
      </c>
      <c r="C100" s="349">
        <f>B100+0.05</f>
        <v>0.70000000000000007</v>
      </c>
      <c r="D100" s="349">
        <f t="shared" ref="D100:G100" si="46">C100+0.05</f>
        <v>0.75000000000000011</v>
      </c>
      <c r="E100" s="349">
        <f t="shared" si="46"/>
        <v>0.80000000000000016</v>
      </c>
      <c r="F100" s="349">
        <f t="shared" si="46"/>
        <v>0.8500000000000002</v>
      </c>
      <c r="G100" s="349">
        <f t="shared" si="46"/>
        <v>0.90000000000000024</v>
      </c>
      <c r="H100" s="349">
        <f>G100+0.05</f>
        <v>0.95000000000000029</v>
      </c>
    </row>
    <row r="101" spans="1:9">
      <c r="A101" s="604"/>
      <c r="B101" s="327" t="s">
        <v>2</v>
      </c>
      <c r="C101" s="327" t="s">
        <v>3</v>
      </c>
      <c r="D101" s="327" t="s">
        <v>4</v>
      </c>
      <c r="E101" s="327" t="s">
        <v>5</v>
      </c>
      <c r="F101" s="327" t="s">
        <v>6</v>
      </c>
      <c r="G101" s="327" t="s">
        <v>166</v>
      </c>
      <c r="H101" s="327" t="s">
        <v>165</v>
      </c>
    </row>
    <row r="102" spans="1:9" s="352" customFormat="1">
      <c r="A102" s="332" t="str">
        <f t="shared" ref="A102:A126" si="47">A74</f>
        <v>Onion</v>
      </c>
      <c r="B102" s="357">
        <f t="shared" ref="B102:B110" si="48">D14*$B$100</f>
        <v>0</v>
      </c>
      <c r="C102" s="357">
        <f t="shared" ref="C102:H117" si="49">(B102/B$100)*C$100</f>
        <v>0</v>
      </c>
      <c r="D102" s="357">
        <f t="shared" si="49"/>
        <v>0</v>
      </c>
      <c r="E102" s="357">
        <f t="shared" si="49"/>
        <v>0</v>
      </c>
      <c r="F102" s="357">
        <f t="shared" si="49"/>
        <v>0</v>
      </c>
      <c r="G102" s="357">
        <f t="shared" si="49"/>
        <v>0</v>
      </c>
      <c r="H102" s="357">
        <f t="shared" si="49"/>
        <v>0</v>
      </c>
    </row>
    <row r="103" spans="1:9">
      <c r="A103" s="332" t="str">
        <f t="shared" si="47"/>
        <v>Tomato</v>
      </c>
      <c r="B103" s="357">
        <f t="shared" si="48"/>
        <v>0</v>
      </c>
      <c r="C103" s="357">
        <f t="shared" si="49"/>
        <v>0</v>
      </c>
      <c r="D103" s="357">
        <f>(C103/C100)*D100</f>
        <v>0</v>
      </c>
      <c r="E103" s="357">
        <f t="shared" ref="E103:G103" si="50">(D103/D100)*E100</f>
        <v>0</v>
      </c>
      <c r="F103" s="357">
        <f t="shared" si="50"/>
        <v>0</v>
      </c>
      <c r="G103" s="357">
        <f t="shared" si="50"/>
        <v>0</v>
      </c>
      <c r="H103" s="357">
        <f>(G103/G100)*H100</f>
        <v>0</v>
      </c>
    </row>
    <row r="104" spans="1:9">
      <c r="A104" s="332" t="str">
        <f t="shared" si="47"/>
        <v>Okra</v>
      </c>
      <c r="B104" s="357">
        <f t="shared" si="48"/>
        <v>0</v>
      </c>
      <c r="C104" s="357">
        <f t="shared" si="49"/>
        <v>0</v>
      </c>
      <c r="D104" s="357">
        <f t="shared" si="49"/>
        <v>0</v>
      </c>
      <c r="E104" s="357">
        <f t="shared" si="49"/>
        <v>0</v>
      </c>
      <c r="F104" s="357">
        <f t="shared" si="49"/>
        <v>0</v>
      </c>
      <c r="G104" s="357">
        <f t="shared" si="49"/>
        <v>0</v>
      </c>
      <c r="H104" s="357">
        <f t="shared" si="49"/>
        <v>0</v>
      </c>
    </row>
    <row r="105" spans="1:9">
      <c r="A105" s="332" t="str">
        <f t="shared" si="47"/>
        <v>Chilli</v>
      </c>
      <c r="B105" s="357">
        <f t="shared" si="48"/>
        <v>0</v>
      </c>
      <c r="C105" s="357">
        <f t="shared" si="49"/>
        <v>0</v>
      </c>
      <c r="D105" s="357">
        <f t="shared" si="49"/>
        <v>0</v>
      </c>
      <c r="E105" s="357">
        <f t="shared" si="49"/>
        <v>0</v>
      </c>
      <c r="F105" s="357">
        <f t="shared" si="49"/>
        <v>0</v>
      </c>
      <c r="G105" s="357">
        <f t="shared" si="49"/>
        <v>0</v>
      </c>
      <c r="H105" s="357">
        <f t="shared" si="49"/>
        <v>0</v>
      </c>
    </row>
    <row r="106" spans="1:9">
      <c r="A106" s="332" t="str">
        <f t="shared" si="47"/>
        <v>Potato</v>
      </c>
      <c r="B106" s="357">
        <f t="shared" si="48"/>
        <v>0</v>
      </c>
      <c r="C106" s="357">
        <f t="shared" si="49"/>
        <v>0</v>
      </c>
      <c r="D106" s="357">
        <f t="shared" si="49"/>
        <v>0</v>
      </c>
      <c r="E106" s="357">
        <f t="shared" si="49"/>
        <v>0</v>
      </c>
      <c r="F106" s="357">
        <f t="shared" si="49"/>
        <v>0</v>
      </c>
      <c r="G106" s="357">
        <f t="shared" si="49"/>
        <v>0</v>
      </c>
      <c r="H106" s="357">
        <f t="shared" si="49"/>
        <v>0</v>
      </c>
    </row>
    <row r="107" spans="1:9">
      <c r="A107" s="357">
        <f t="shared" si="47"/>
        <v>0</v>
      </c>
      <c r="B107" s="357">
        <f t="shared" si="48"/>
        <v>0</v>
      </c>
      <c r="C107" s="357">
        <f t="shared" si="49"/>
        <v>0</v>
      </c>
      <c r="D107" s="357">
        <f t="shared" si="49"/>
        <v>0</v>
      </c>
      <c r="E107" s="357">
        <f t="shared" si="49"/>
        <v>0</v>
      </c>
      <c r="F107" s="357">
        <f t="shared" si="49"/>
        <v>0</v>
      </c>
      <c r="G107" s="357">
        <f t="shared" si="49"/>
        <v>0</v>
      </c>
      <c r="H107" s="357">
        <f t="shared" si="49"/>
        <v>0</v>
      </c>
    </row>
    <row r="108" spans="1:9">
      <c r="A108" s="357">
        <f t="shared" si="47"/>
        <v>0</v>
      </c>
      <c r="B108" s="357">
        <f t="shared" si="48"/>
        <v>0</v>
      </c>
      <c r="C108" s="357">
        <f t="shared" si="49"/>
        <v>0</v>
      </c>
      <c r="D108" s="357">
        <f t="shared" si="49"/>
        <v>0</v>
      </c>
      <c r="E108" s="357">
        <f t="shared" si="49"/>
        <v>0</v>
      </c>
      <c r="F108" s="357">
        <f t="shared" si="49"/>
        <v>0</v>
      </c>
      <c r="G108" s="357">
        <f t="shared" si="49"/>
        <v>0</v>
      </c>
      <c r="H108" s="357">
        <f t="shared" si="49"/>
        <v>0</v>
      </c>
    </row>
    <row r="109" spans="1:9">
      <c r="A109" s="357">
        <f t="shared" si="47"/>
        <v>0</v>
      </c>
      <c r="B109" s="357">
        <f t="shared" si="48"/>
        <v>0</v>
      </c>
      <c r="C109" s="357">
        <f t="shared" si="49"/>
        <v>0</v>
      </c>
      <c r="D109" s="357">
        <f t="shared" si="49"/>
        <v>0</v>
      </c>
      <c r="E109" s="357">
        <f t="shared" si="49"/>
        <v>0</v>
      </c>
      <c r="F109" s="357">
        <f t="shared" si="49"/>
        <v>0</v>
      </c>
      <c r="G109" s="357">
        <f t="shared" si="49"/>
        <v>0</v>
      </c>
      <c r="H109" s="357">
        <f t="shared" si="49"/>
        <v>0</v>
      </c>
    </row>
    <row r="110" spans="1:9">
      <c r="A110" s="357">
        <f t="shared" si="47"/>
        <v>0</v>
      </c>
      <c r="B110" s="357">
        <f t="shared" si="48"/>
        <v>0</v>
      </c>
      <c r="C110" s="357">
        <f t="shared" si="49"/>
        <v>0</v>
      </c>
      <c r="D110" s="357">
        <f t="shared" si="49"/>
        <v>0</v>
      </c>
      <c r="E110" s="357">
        <f t="shared" si="49"/>
        <v>0</v>
      </c>
      <c r="F110" s="357">
        <f t="shared" si="49"/>
        <v>0</v>
      </c>
      <c r="G110" s="357">
        <f t="shared" si="49"/>
        <v>0</v>
      </c>
      <c r="H110" s="357">
        <f t="shared" si="49"/>
        <v>0</v>
      </c>
    </row>
    <row r="111" spans="1:9">
      <c r="A111" s="332" t="str">
        <f t="shared" si="47"/>
        <v>Onion</v>
      </c>
      <c r="B111" s="357">
        <f t="shared" ref="B111:B118" si="51">D24*$B$100</f>
        <v>0</v>
      </c>
      <c r="C111" s="357">
        <f t="shared" si="49"/>
        <v>0</v>
      </c>
      <c r="D111" s="357">
        <f t="shared" si="49"/>
        <v>0</v>
      </c>
      <c r="E111" s="357">
        <f t="shared" si="49"/>
        <v>0</v>
      </c>
      <c r="F111" s="357">
        <f t="shared" si="49"/>
        <v>0</v>
      </c>
      <c r="G111" s="357">
        <f t="shared" si="49"/>
        <v>0</v>
      </c>
      <c r="H111" s="357">
        <f t="shared" si="49"/>
        <v>0</v>
      </c>
    </row>
    <row r="112" spans="1:9">
      <c r="A112" s="332" t="str">
        <f t="shared" si="47"/>
        <v>Tomato</v>
      </c>
      <c r="B112" s="357">
        <f t="shared" si="51"/>
        <v>0</v>
      </c>
      <c r="C112" s="357">
        <f t="shared" si="49"/>
        <v>0</v>
      </c>
      <c r="D112" s="357">
        <f t="shared" si="49"/>
        <v>0</v>
      </c>
      <c r="E112" s="357">
        <f t="shared" si="49"/>
        <v>0</v>
      </c>
      <c r="F112" s="357">
        <f t="shared" si="49"/>
        <v>0</v>
      </c>
      <c r="G112" s="357">
        <f t="shared" si="49"/>
        <v>0</v>
      </c>
      <c r="H112" s="357">
        <f t="shared" si="49"/>
        <v>0</v>
      </c>
    </row>
    <row r="113" spans="1:9">
      <c r="A113" s="332" t="str">
        <f t="shared" si="47"/>
        <v>Okra</v>
      </c>
      <c r="B113" s="357">
        <f t="shared" si="51"/>
        <v>0</v>
      </c>
      <c r="C113" s="357">
        <f t="shared" si="49"/>
        <v>0</v>
      </c>
      <c r="D113" s="357">
        <f t="shared" si="49"/>
        <v>0</v>
      </c>
      <c r="E113" s="357">
        <f t="shared" si="49"/>
        <v>0</v>
      </c>
      <c r="F113" s="357">
        <f t="shared" si="49"/>
        <v>0</v>
      </c>
      <c r="G113" s="357">
        <f t="shared" si="49"/>
        <v>0</v>
      </c>
      <c r="H113" s="357">
        <f t="shared" si="49"/>
        <v>0</v>
      </c>
    </row>
    <row r="114" spans="1:9">
      <c r="A114" s="332" t="str">
        <f t="shared" si="47"/>
        <v>Chilli</v>
      </c>
      <c r="B114" s="357">
        <f t="shared" si="51"/>
        <v>0</v>
      </c>
      <c r="C114" s="357">
        <f t="shared" si="49"/>
        <v>0</v>
      </c>
      <c r="D114" s="357">
        <f t="shared" si="49"/>
        <v>0</v>
      </c>
      <c r="E114" s="357">
        <f t="shared" si="49"/>
        <v>0</v>
      </c>
      <c r="F114" s="357">
        <f t="shared" si="49"/>
        <v>0</v>
      </c>
      <c r="G114" s="357">
        <f t="shared" si="49"/>
        <v>0</v>
      </c>
      <c r="H114" s="357">
        <f t="shared" si="49"/>
        <v>0</v>
      </c>
    </row>
    <row r="115" spans="1:9">
      <c r="A115" s="332" t="str">
        <f t="shared" si="47"/>
        <v>Brinjal</v>
      </c>
      <c r="B115" s="357">
        <f t="shared" si="51"/>
        <v>0</v>
      </c>
      <c r="C115" s="357">
        <f t="shared" si="49"/>
        <v>0</v>
      </c>
      <c r="D115" s="357">
        <f t="shared" si="49"/>
        <v>0</v>
      </c>
      <c r="E115" s="357">
        <f t="shared" si="49"/>
        <v>0</v>
      </c>
      <c r="F115" s="357">
        <f t="shared" si="49"/>
        <v>0</v>
      </c>
      <c r="G115" s="357">
        <f t="shared" si="49"/>
        <v>0</v>
      </c>
      <c r="H115" s="357">
        <f t="shared" si="49"/>
        <v>0</v>
      </c>
    </row>
    <row r="116" spans="1:9">
      <c r="A116" s="357">
        <f t="shared" si="47"/>
        <v>0</v>
      </c>
      <c r="B116" s="357">
        <f t="shared" si="51"/>
        <v>0</v>
      </c>
      <c r="C116" s="357">
        <f t="shared" si="49"/>
        <v>0</v>
      </c>
      <c r="D116" s="357">
        <f t="shared" si="49"/>
        <v>0</v>
      </c>
      <c r="E116" s="357">
        <f t="shared" si="49"/>
        <v>0</v>
      </c>
      <c r="F116" s="357">
        <f t="shared" si="49"/>
        <v>0</v>
      </c>
      <c r="G116" s="357">
        <f t="shared" si="49"/>
        <v>0</v>
      </c>
      <c r="H116" s="357">
        <f t="shared" si="49"/>
        <v>0</v>
      </c>
    </row>
    <row r="117" spans="1:9">
      <c r="A117" s="357">
        <f t="shared" si="47"/>
        <v>0</v>
      </c>
      <c r="B117" s="357">
        <f t="shared" si="51"/>
        <v>0</v>
      </c>
      <c r="C117" s="357">
        <f t="shared" si="49"/>
        <v>0</v>
      </c>
      <c r="D117" s="357">
        <f t="shared" si="49"/>
        <v>0</v>
      </c>
      <c r="E117" s="357">
        <f t="shared" si="49"/>
        <v>0</v>
      </c>
      <c r="F117" s="357">
        <f t="shared" si="49"/>
        <v>0</v>
      </c>
      <c r="G117" s="357">
        <f t="shared" si="49"/>
        <v>0</v>
      </c>
      <c r="H117" s="357">
        <f t="shared" si="49"/>
        <v>0</v>
      </c>
    </row>
    <row r="118" spans="1:9">
      <c r="A118" s="357">
        <f t="shared" si="47"/>
        <v>0</v>
      </c>
      <c r="B118" s="357">
        <f t="shared" si="51"/>
        <v>0</v>
      </c>
      <c r="C118" s="357">
        <f t="shared" ref="C118:H126" si="52">(B118/B$100)*C$100</f>
        <v>0</v>
      </c>
      <c r="D118" s="357">
        <f t="shared" si="52"/>
        <v>0</v>
      </c>
      <c r="E118" s="357">
        <f t="shared" si="52"/>
        <v>0</v>
      </c>
      <c r="F118" s="357">
        <f t="shared" si="52"/>
        <v>0</v>
      </c>
      <c r="G118" s="357">
        <f t="shared" si="52"/>
        <v>0</v>
      </c>
      <c r="H118" s="357">
        <f t="shared" si="52"/>
        <v>0</v>
      </c>
    </row>
    <row r="119" spans="1:9">
      <c r="A119" s="357">
        <f t="shared" si="47"/>
        <v>0</v>
      </c>
      <c r="B119" s="357">
        <f t="shared" ref="B119:B126" si="53">D33*$B$100</f>
        <v>0</v>
      </c>
      <c r="C119" s="357">
        <f t="shared" si="52"/>
        <v>0</v>
      </c>
      <c r="D119" s="357">
        <f t="shared" si="52"/>
        <v>0</v>
      </c>
      <c r="E119" s="357">
        <f t="shared" si="52"/>
        <v>0</v>
      </c>
      <c r="F119" s="357">
        <f t="shared" si="52"/>
        <v>0</v>
      </c>
      <c r="G119" s="357">
        <f t="shared" si="52"/>
        <v>0</v>
      </c>
      <c r="H119" s="357">
        <f t="shared" si="52"/>
        <v>0</v>
      </c>
    </row>
    <row r="120" spans="1:9">
      <c r="A120" s="357">
        <f t="shared" si="47"/>
        <v>0</v>
      </c>
      <c r="B120" s="357">
        <f t="shared" si="53"/>
        <v>0</v>
      </c>
      <c r="C120" s="357">
        <f t="shared" si="52"/>
        <v>0</v>
      </c>
      <c r="D120" s="357">
        <f t="shared" ref="D120:D122" si="54">(C120/C$100)*D$100</f>
        <v>0</v>
      </c>
      <c r="E120" s="357">
        <f t="shared" ref="E120:E122" si="55">(D120/D$100)*E$100</f>
        <v>0</v>
      </c>
      <c r="F120" s="357">
        <f t="shared" ref="F120:F122" si="56">(E120/E$100)*F$100</f>
        <v>0</v>
      </c>
      <c r="G120" s="357">
        <f t="shared" ref="G120:G122" si="57">(F120/F$100)*G$100</f>
        <v>0</v>
      </c>
      <c r="H120" s="357">
        <f t="shared" si="52"/>
        <v>0</v>
      </c>
    </row>
    <row r="121" spans="1:9">
      <c r="A121" s="357">
        <f t="shared" si="47"/>
        <v>0</v>
      </c>
      <c r="B121" s="357">
        <f t="shared" si="53"/>
        <v>0</v>
      </c>
      <c r="C121" s="357">
        <f t="shared" si="52"/>
        <v>0</v>
      </c>
      <c r="D121" s="357">
        <f t="shared" si="54"/>
        <v>0</v>
      </c>
      <c r="E121" s="357">
        <f t="shared" si="55"/>
        <v>0</v>
      </c>
      <c r="F121" s="357">
        <f t="shared" si="56"/>
        <v>0</v>
      </c>
      <c r="G121" s="357">
        <f t="shared" si="57"/>
        <v>0</v>
      </c>
      <c r="H121" s="357">
        <f t="shared" si="52"/>
        <v>0</v>
      </c>
    </row>
    <row r="122" spans="1:9">
      <c r="A122" s="357">
        <f t="shared" si="47"/>
        <v>0</v>
      </c>
      <c r="B122" s="357">
        <f t="shared" si="53"/>
        <v>0</v>
      </c>
      <c r="C122" s="357">
        <f t="shared" si="52"/>
        <v>0</v>
      </c>
      <c r="D122" s="357">
        <f t="shared" si="54"/>
        <v>0</v>
      </c>
      <c r="E122" s="357">
        <f t="shared" si="55"/>
        <v>0</v>
      </c>
      <c r="F122" s="357">
        <f t="shared" si="56"/>
        <v>0</v>
      </c>
      <c r="G122" s="357">
        <f t="shared" si="57"/>
        <v>0</v>
      </c>
      <c r="H122" s="357">
        <f t="shared" si="52"/>
        <v>0</v>
      </c>
    </row>
    <row r="123" spans="1:9">
      <c r="A123" s="332" t="str">
        <f t="shared" si="47"/>
        <v>Pomegranate</v>
      </c>
      <c r="B123" s="357">
        <f t="shared" si="53"/>
        <v>0</v>
      </c>
      <c r="C123" s="357">
        <f t="shared" si="52"/>
        <v>0</v>
      </c>
      <c r="D123" s="357">
        <f t="shared" si="52"/>
        <v>0</v>
      </c>
      <c r="E123" s="357">
        <f t="shared" si="52"/>
        <v>0</v>
      </c>
      <c r="F123" s="357">
        <f t="shared" si="52"/>
        <v>0</v>
      </c>
      <c r="G123" s="357">
        <f t="shared" si="52"/>
        <v>0</v>
      </c>
      <c r="H123" s="357">
        <f t="shared" si="52"/>
        <v>0</v>
      </c>
    </row>
    <row r="124" spans="1:9">
      <c r="A124" s="332" t="str">
        <f t="shared" si="47"/>
        <v>Custard Apple</v>
      </c>
      <c r="B124" s="357">
        <f t="shared" si="53"/>
        <v>0</v>
      </c>
      <c r="C124" s="357">
        <f t="shared" si="52"/>
        <v>0</v>
      </c>
      <c r="D124" s="357">
        <f t="shared" ref="D124" si="58">(C124/C$100)*D$100</f>
        <v>0</v>
      </c>
      <c r="E124" s="357">
        <f t="shared" ref="E124" si="59">(D124/D$100)*E$100</f>
        <v>0</v>
      </c>
      <c r="F124" s="357">
        <f t="shared" ref="F124" si="60">(E124/E$100)*F$100</f>
        <v>0</v>
      </c>
      <c r="G124" s="357">
        <f t="shared" ref="G124" si="61">(F124/F$100)*G$100</f>
        <v>0</v>
      </c>
      <c r="H124" s="357">
        <f t="shared" si="52"/>
        <v>0</v>
      </c>
    </row>
    <row r="125" spans="1:9">
      <c r="A125" s="332" t="str">
        <f t="shared" si="47"/>
        <v>Guava</v>
      </c>
      <c r="B125" s="357">
        <f t="shared" si="53"/>
        <v>0</v>
      </c>
      <c r="C125" s="357">
        <f t="shared" si="52"/>
        <v>0</v>
      </c>
      <c r="D125" s="357">
        <f t="shared" si="52"/>
        <v>0</v>
      </c>
      <c r="E125" s="357">
        <f t="shared" si="52"/>
        <v>0</v>
      </c>
      <c r="F125" s="357">
        <f t="shared" si="52"/>
        <v>0</v>
      </c>
      <c r="G125" s="357">
        <f t="shared" si="52"/>
        <v>0</v>
      </c>
      <c r="H125" s="357">
        <f t="shared" si="52"/>
        <v>0</v>
      </c>
    </row>
    <row r="126" spans="1:9">
      <c r="A126" s="332" t="str">
        <f t="shared" si="47"/>
        <v>Citrus</v>
      </c>
      <c r="B126" s="357">
        <f t="shared" si="53"/>
        <v>0</v>
      </c>
      <c r="C126" s="357">
        <f t="shared" si="52"/>
        <v>0</v>
      </c>
      <c r="D126" s="357">
        <f t="shared" si="52"/>
        <v>0</v>
      </c>
      <c r="E126" s="357">
        <f t="shared" si="52"/>
        <v>0</v>
      </c>
      <c r="F126" s="357">
        <f t="shared" si="52"/>
        <v>0</v>
      </c>
      <c r="G126" s="357">
        <f t="shared" si="52"/>
        <v>0</v>
      </c>
      <c r="H126" s="357">
        <f t="shared" si="52"/>
        <v>0</v>
      </c>
    </row>
    <row r="128" spans="1:9">
      <c r="C128" s="325"/>
      <c r="D128" s="339"/>
      <c r="E128" s="339"/>
      <c r="F128" s="339"/>
      <c r="G128" s="339"/>
      <c r="H128" s="339"/>
      <c r="I128" s="339"/>
    </row>
    <row r="129" spans="1:9">
      <c r="A129" s="263" t="s">
        <v>523</v>
      </c>
      <c r="C129" s="271"/>
      <c r="D129" s="271"/>
      <c r="E129" s="271"/>
      <c r="F129" s="271"/>
      <c r="G129" s="271"/>
      <c r="H129" s="271"/>
      <c r="I129" s="271"/>
    </row>
    <row r="130" spans="1:9">
      <c r="A130" s="263">
        <v>1</v>
      </c>
      <c r="B130" s="263" t="s">
        <v>524</v>
      </c>
    </row>
    <row r="131" spans="1:9">
      <c r="A131" s="263">
        <v>2</v>
      </c>
      <c r="B131" s="263" t="s">
        <v>525</v>
      </c>
    </row>
    <row r="132" spans="1:9">
      <c r="A132" s="263">
        <v>3</v>
      </c>
      <c r="B132" s="263" t="s">
        <v>526</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13"/>
  <sheetViews>
    <sheetView view="pageBreakPreview" topLeftCell="A273" zoomScale="80" zoomScaleSheetLayoutView="80" workbookViewId="0">
      <selection activeCell="D292" sqref="D292"/>
    </sheetView>
  </sheetViews>
  <sheetFormatPr defaultRowHeight="14.25"/>
  <cols>
    <col min="1" max="1" width="39.140625" style="263" customWidth="1"/>
    <col min="2" max="2" width="11.28515625" style="263" customWidth="1"/>
    <col min="3" max="3" width="15" style="263" bestFit="1" customWidth="1"/>
    <col min="4" max="4" width="15.140625" style="263" bestFit="1" customWidth="1"/>
    <col min="5" max="5" width="15.5703125" style="263" bestFit="1" customWidth="1"/>
    <col min="6" max="6" width="15.85546875" style="263" customWidth="1"/>
    <col min="7" max="10" width="15.5703125" style="263" bestFit="1" customWidth="1"/>
    <col min="11" max="11" width="10.5703125" style="263" bestFit="1" customWidth="1"/>
    <col min="12" max="12" width="9.140625" style="263"/>
    <col min="13" max="13" width="22.85546875" style="263" bestFit="1" customWidth="1"/>
    <col min="14" max="14" width="12.85546875" style="263" bestFit="1" customWidth="1"/>
    <col min="15" max="16384" width="9.140625" style="263"/>
  </cols>
  <sheetData>
    <row r="2" spans="1:8" ht="18">
      <c r="A2" s="601" t="s">
        <v>560</v>
      </c>
      <c r="B2" s="601"/>
      <c r="C2" s="601"/>
      <c r="D2" s="601"/>
      <c r="E2" s="601"/>
      <c r="F2" s="601"/>
      <c r="G2" s="601"/>
      <c r="H2" s="601"/>
    </row>
    <row r="3" spans="1:8" ht="18">
      <c r="A3" s="601" t="s">
        <v>561</v>
      </c>
      <c r="B3" s="601"/>
      <c r="C3" s="601"/>
      <c r="D3" s="601"/>
      <c r="E3" s="601"/>
      <c r="F3" s="601"/>
      <c r="G3" s="601"/>
      <c r="H3" s="601"/>
    </row>
    <row r="4" spans="1:8">
      <c r="F4" s="556" t="s">
        <v>454</v>
      </c>
      <c r="G4" s="556"/>
      <c r="H4" s="556"/>
    </row>
    <row r="5" spans="1:8">
      <c r="A5" s="263" t="s">
        <v>159</v>
      </c>
      <c r="B5" s="375">
        <v>20</v>
      </c>
      <c r="C5" s="263" t="s">
        <v>433</v>
      </c>
      <c r="F5" s="326" t="s">
        <v>455</v>
      </c>
      <c r="G5" s="326" t="s">
        <v>456</v>
      </c>
    </row>
    <row r="6" spans="1:8">
      <c r="A6" s="263" t="s">
        <v>160</v>
      </c>
      <c r="B6" s="376">
        <v>8</v>
      </c>
      <c r="F6" s="329" t="s">
        <v>452</v>
      </c>
      <c r="G6" s="377">
        <v>0.03</v>
      </c>
    </row>
    <row r="7" spans="1:8">
      <c r="F7" s="329" t="s">
        <v>453</v>
      </c>
      <c r="G7" s="377">
        <v>0.05</v>
      </c>
    </row>
    <row r="8" spans="1:8">
      <c r="A8" s="263" t="s">
        <v>497</v>
      </c>
      <c r="B8" s="263">
        <v>300</v>
      </c>
      <c r="F8" s="329"/>
      <c r="G8" s="377"/>
    </row>
    <row r="9" spans="1:8">
      <c r="A9" s="378" t="s">
        <v>0</v>
      </c>
      <c r="B9" s="379" t="s">
        <v>2</v>
      </c>
      <c r="C9" s="379" t="s">
        <v>3</v>
      </c>
      <c r="D9" s="379" t="s">
        <v>4</v>
      </c>
      <c r="E9" s="379" t="s">
        <v>5</v>
      </c>
      <c r="F9" s="379" t="s">
        <v>6</v>
      </c>
      <c r="G9" s="379" t="s">
        <v>166</v>
      </c>
      <c r="H9" s="379" t="s">
        <v>165</v>
      </c>
    </row>
    <row r="10" spans="1:8">
      <c r="A10" s="329" t="s">
        <v>432</v>
      </c>
      <c r="B10" s="401">
        <f>B33/($B$5*$B$6)</f>
        <v>170.00552812499998</v>
      </c>
      <c r="C10" s="401">
        <f t="shared" ref="C10:H10" si="0">C33/($B$5*$B$6)</f>
        <v>178.95318749999998</v>
      </c>
      <c r="D10" s="401">
        <f t="shared" si="0"/>
        <v>187.90084687499998</v>
      </c>
      <c r="E10" s="401">
        <f t="shared" si="0"/>
        <v>196.84850625000001</v>
      </c>
      <c r="F10" s="401">
        <f t="shared" si="0"/>
        <v>205.79616562500001</v>
      </c>
      <c r="G10" s="401">
        <f t="shared" si="0"/>
        <v>214.74382500000002</v>
      </c>
      <c r="H10" s="401">
        <f t="shared" si="0"/>
        <v>223.69148437499999</v>
      </c>
    </row>
    <row r="11" spans="1:8">
      <c r="A11" s="510" t="str">
        <f>'10.Grain Production details'!A42</f>
        <v>Maize (Kharif)</v>
      </c>
      <c r="B11" s="511">
        <f>'10.Grain Production details'!B42</f>
        <v>7096.5</v>
      </c>
      <c r="C11" s="511">
        <f>'10.Grain Production details'!C42</f>
        <v>7470</v>
      </c>
      <c r="D11" s="511">
        <f>'10.Grain Production details'!D42</f>
        <v>7843.5</v>
      </c>
      <c r="E11" s="511">
        <f>'10.Grain Production details'!E42</f>
        <v>8217</v>
      </c>
      <c r="F11" s="511">
        <f>'10.Grain Production details'!F42</f>
        <v>8590.5</v>
      </c>
      <c r="G11" s="511">
        <f>'10.Grain Production details'!G42</f>
        <v>8964</v>
      </c>
      <c r="H11" s="511">
        <f>'10.Grain Production details'!H42</f>
        <v>9337.5</v>
      </c>
    </row>
    <row r="12" spans="1:8">
      <c r="A12" s="511" t="str">
        <f>'10.Grain Production details'!A43</f>
        <v>Red Gram/Tur</v>
      </c>
      <c r="B12" s="511">
        <f>'10.Grain Production details'!B43</f>
        <v>0</v>
      </c>
      <c r="C12" s="511">
        <f>'10.Grain Production details'!C43</f>
        <v>0</v>
      </c>
      <c r="D12" s="511">
        <f>'10.Grain Production details'!D43</f>
        <v>0</v>
      </c>
      <c r="E12" s="511">
        <f>'10.Grain Production details'!E43</f>
        <v>0</v>
      </c>
      <c r="F12" s="511">
        <f>'10.Grain Production details'!F43</f>
        <v>0</v>
      </c>
      <c r="G12" s="511">
        <f>'10.Grain Production details'!G43</f>
        <v>0</v>
      </c>
      <c r="H12" s="511">
        <f>'10.Grain Production details'!H43</f>
        <v>0</v>
      </c>
    </row>
    <row r="13" spans="1:8">
      <c r="A13" s="511" t="str">
        <f>'10.Grain Production details'!A44</f>
        <v>Paddy/Rice</v>
      </c>
      <c r="B13" s="511">
        <f>'10.Grain Production details'!B44</f>
        <v>0</v>
      </c>
      <c r="C13" s="511">
        <f>'10.Grain Production details'!C44</f>
        <v>0</v>
      </c>
      <c r="D13" s="511">
        <f>'10.Grain Production details'!D44</f>
        <v>0</v>
      </c>
      <c r="E13" s="511">
        <f>'10.Grain Production details'!E44</f>
        <v>0</v>
      </c>
      <c r="F13" s="511">
        <f>'10.Grain Production details'!F44</f>
        <v>0</v>
      </c>
      <c r="G13" s="511">
        <f>'10.Grain Production details'!G44</f>
        <v>0</v>
      </c>
      <c r="H13" s="511">
        <f>'10.Grain Production details'!H44</f>
        <v>0</v>
      </c>
    </row>
    <row r="14" spans="1:8">
      <c r="A14" s="511" t="str">
        <f>'10.Grain Production details'!A45</f>
        <v>Green Gram/ Moong</v>
      </c>
      <c r="B14" s="511">
        <f>'10.Grain Production details'!B45</f>
        <v>0</v>
      </c>
      <c r="C14" s="511">
        <f>'10.Grain Production details'!C45</f>
        <v>0</v>
      </c>
      <c r="D14" s="511">
        <f>'10.Grain Production details'!D45</f>
        <v>0</v>
      </c>
      <c r="E14" s="511">
        <f>'10.Grain Production details'!E45</f>
        <v>0</v>
      </c>
      <c r="F14" s="511">
        <f>'10.Grain Production details'!F45</f>
        <v>0</v>
      </c>
      <c r="G14" s="511">
        <f>'10.Grain Production details'!G45</f>
        <v>0</v>
      </c>
      <c r="H14" s="511">
        <f>'10.Grain Production details'!H45</f>
        <v>0</v>
      </c>
    </row>
    <row r="15" spans="1:8">
      <c r="A15" s="511" t="str">
        <f>'10.Grain Production details'!A46</f>
        <v>Soyabean</v>
      </c>
      <c r="B15" s="511">
        <f>'10.Grain Production details'!B46</f>
        <v>0</v>
      </c>
      <c r="C15" s="511">
        <f>'10.Grain Production details'!C46</f>
        <v>0</v>
      </c>
      <c r="D15" s="511">
        <f>'10.Grain Production details'!D46</f>
        <v>0</v>
      </c>
      <c r="E15" s="511">
        <f>'10.Grain Production details'!E46</f>
        <v>0</v>
      </c>
      <c r="F15" s="511">
        <f>'10.Grain Production details'!F46</f>
        <v>0</v>
      </c>
      <c r="G15" s="511">
        <f>'10.Grain Production details'!G46</f>
        <v>0</v>
      </c>
      <c r="H15" s="511">
        <f>'10.Grain Production details'!H46</f>
        <v>0</v>
      </c>
    </row>
    <row r="16" spans="1:8">
      <c r="A16" s="511" t="str">
        <f>'10.Grain Production details'!A47</f>
        <v>Black Gram/Udid</v>
      </c>
      <c r="B16" s="511">
        <f>'10.Grain Production details'!B47</f>
        <v>0</v>
      </c>
      <c r="C16" s="511">
        <f>'10.Grain Production details'!C47</f>
        <v>0</v>
      </c>
      <c r="D16" s="511">
        <f>'10.Grain Production details'!D47</f>
        <v>0</v>
      </c>
      <c r="E16" s="511">
        <f>'10.Grain Production details'!E47</f>
        <v>0</v>
      </c>
      <c r="F16" s="511">
        <f>'10.Grain Production details'!F47</f>
        <v>0</v>
      </c>
      <c r="G16" s="511">
        <f>'10.Grain Production details'!G47</f>
        <v>0</v>
      </c>
      <c r="H16" s="511">
        <f>'10.Grain Production details'!H47</f>
        <v>0</v>
      </c>
    </row>
    <row r="17" spans="1:8">
      <c r="A17" s="510" t="str">
        <f>'10.Grain Production details'!A48</f>
        <v>Bajra (Kharif)</v>
      </c>
      <c r="B17" s="511">
        <f>'10.Grain Production details'!B48</f>
        <v>2128.9499999999998</v>
      </c>
      <c r="C17" s="511">
        <f>'10.Grain Production details'!C48</f>
        <v>2241</v>
      </c>
      <c r="D17" s="511">
        <f>'10.Grain Production details'!D48</f>
        <v>2353.0500000000002</v>
      </c>
      <c r="E17" s="511">
        <f>'10.Grain Production details'!E48</f>
        <v>2465.1000000000004</v>
      </c>
      <c r="F17" s="511">
        <f>'10.Grain Production details'!F48</f>
        <v>2577.15</v>
      </c>
      <c r="G17" s="511">
        <f>'10.Grain Production details'!G48</f>
        <v>2689.2000000000003</v>
      </c>
      <c r="H17" s="511">
        <f>'10.Grain Production details'!H48</f>
        <v>2801.2500000000005</v>
      </c>
    </row>
    <row r="18" spans="1:8">
      <c r="A18" s="511" t="str">
        <f>'10.Grain Production details'!A49</f>
        <v>Jawar</v>
      </c>
      <c r="B18" s="511">
        <f>'10.Grain Production details'!B49</f>
        <v>0</v>
      </c>
      <c r="C18" s="511">
        <f>'10.Grain Production details'!C49</f>
        <v>0</v>
      </c>
      <c r="D18" s="511">
        <f>'10.Grain Production details'!D49</f>
        <v>0</v>
      </c>
      <c r="E18" s="511">
        <f>'10.Grain Production details'!E49</f>
        <v>0</v>
      </c>
      <c r="F18" s="511">
        <f>'10.Grain Production details'!F49</f>
        <v>0</v>
      </c>
      <c r="G18" s="511">
        <f>'10.Grain Production details'!G49</f>
        <v>0</v>
      </c>
      <c r="H18" s="511">
        <f>'10.Grain Production details'!H49</f>
        <v>0</v>
      </c>
    </row>
    <row r="19" spans="1:8">
      <c r="A19" s="511" t="str">
        <f>'10.Grain Production details'!A50</f>
        <v>Sunflower</v>
      </c>
      <c r="B19" s="511">
        <f>'10.Grain Production details'!B50</f>
        <v>0</v>
      </c>
      <c r="C19" s="511">
        <f>'10.Grain Production details'!C50</f>
        <v>0</v>
      </c>
      <c r="D19" s="511">
        <f>'10.Grain Production details'!D50</f>
        <v>0</v>
      </c>
      <c r="E19" s="511">
        <f>'10.Grain Production details'!E50</f>
        <v>0</v>
      </c>
      <c r="F19" s="511">
        <f>'10.Grain Production details'!F50</f>
        <v>0</v>
      </c>
      <c r="G19" s="511">
        <f>'10.Grain Production details'!G50</f>
        <v>0</v>
      </c>
      <c r="H19" s="511">
        <f>'10.Grain Production details'!H50</f>
        <v>0</v>
      </c>
    </row>
    <row r="20" spans="1:8">
      <c r="A20" s="512" t="str">
        <f>'10.Grain Production details'!A51</f>
        <v>Maize (Rabbi)</v>
      </c>
      <c r="B20" s="511">
        <f>'10.Grain Production details'!B51</f>
        <v>4967.5499999999993</v>
      </c>
      <c r="C20" s="511">
        <f>'10.Grain Production details'!C51</f>
        <v>5228.9999999999991</v>
      </c>
      <c r="D20" s="511">
        <f>'10.Grain Production details'!D51</f>
        <v>5490.4499999999989</v>
      </c>
      <c r="E20" s="511">
        <f>'10.Grain Production details'!E51</f>
        <v>5751.9</v>
      </c>
      <c r="F20" s="511">
        <f>'10.Grain Production details'!F51</f>
        <v>6013.3499999999995</v>
      </c>
      <c r="G20" s="511">
        <f>'10.Grain Production details'!G51</f>
        <v>6274.8</v>
      </c>
      <c r="H20" s="511">
        <f>'10.Grain Production details'!H51</f>
        <v>6536.25</v>
      </c>
    </row>
    <row r="21" spans="1:8">
      <c r="A21" s="512" t="str">
        <f>'10.Grain Production details'!A52</f>
        <v>Gram (Rabbi)</v>
      </c>
      <c r="B21" s="511">
        <f>'10.Grain Production details'!B52</f>
        <v>1703.1599999999999</v>
      </c>
      <c r="C21" s="511">
        <f>'10.Grain Production details'!C52</f>
        <v>1792.8</v>
      </c>
      <c r="D21" s="511">
        <f>'10.Grain Production details'!D52</f>
        <v>1882.44</v>
      </c>
      <c r="E21" s="511">
        <f>'10.Grain Production details'!E52</f>
        <v>1972.0800000000002</v>
      </c>
      <c r="F21" s="511">
        <f>'10.Grain Production details'!F52</f>
        <v>2061.7200000000003</v>
      </c>
      <c r="G21" s="511">
        <f>'10.Grain Production details'!G52</f>
        <v>2151.36</v>
      </c>
      <c r="H21" s="511">
        <f>'10.Grain Production details'!H52</f>
        <v>2241</v>
      </c>
    </row>
    <row r="22" spans="1:8">
      <c r="A22" s="512" t="str">
        <f>'10.Grain Production details'!A53</f>
        <v>Wheat (Rabbi)</v>
      </c>
      <c r="B22" s="511">
        <f>'10.Grain Production details'!B53</f>
        <v>3406.3199999999997</v>
      </c>
      <c r="C22" s="511">
        <f>'10.Grain Production details'!C53</f>
        <v>3585.6</v>
      </c>
      <c r="D22" s="511">
        <f>'10.Grain Production details'!D53</f>
        <v>3764.88</v>
      </c>
      <c r="E22" s="511">
        <f>'10.Grain Production details'!E53</f>
        <v>3944.1600000000003</v>
      </c>
      <c r="F22" s="511">
        <f>'10.Grain Production details'!F53</f>
        <v>4123.4400000000005</v>
      </c>
      <c r="G22" s="511">
        <f>'10.Grain Production details'!G53</f>
        <v>4302.72</v>
      </c>
      <c r="H22" s="511">
        <f>'10.Grain Production details'!H53</f>
        <v>4482</v>
      </c>
    </row>
    <row r="23" spans="1:8">
      <c r="A23" s="511">
        <f>'10.Grain Production details'!A54</f>
        <v>0</v>
      </c>
      <c r="B23" s="511">
        <f>'10.Grain Production details'!B54</f>
        <v>0</v>
      </c>
      <c r="C23" s="511">
        <f>'10.Grain Production details'!C54</f>
        <v>0</v>
      </c>
      <c r="D23" s="511">
        <f>'10.Grain Production details'!D54</f>
        <v>0</v>
      </c>
      <c r="E23" s="511">
        <f>'10.Grain Production details'!E54</f>
        <v>0</v>
      </c>
      <c r="F23" s="511">
        <f>'10.Grain Production details'!F54</f>
        <v>0</v>
      </c>
      <c r="G23" s="511">
        <f>'10.Grain Production details'!G54</f>
        <v>0</v>
      </c>
      <c r="H23" s="511">
        <f>'10.Grain Production details'!H54</f>
        <v>0</v>
      </c>
    </row>
    <row r="24" spans="1:8">
      <c r="A24" s="511">
        <f>'10.Grain Production details'!A55</f>
        <v>0</v>
      </c>
      <c r="B24" s="511">
        <f>'10.Grain Production details'!B55</f>
        <v>0</v>
      </c>
      <c r="C24" s="511">
        <f>'10.Grain Production details'!C55</f>
        <v>0</v>
      </c>
      <c r="D24" s="511">
        <f>'10.Grain Production details'!D55</f>
        <v>0</v>
      </c>
      <c r="E24" s="511">
        <f>'10.Grain Production details'!E55</f>
        <v>0</v>
      </c>
      <c r="F24" s="511">
        <f>'10.Grain Production details'!F55</f>
        <v>0</v>
      </c>
      <c r="G24" s="511">
        <f>'10.Grain Production details'!G55</f>
        <v>0</v>
      </c>
      <c r="H24" s="511">
        <f>'10.Grain Production details'!H55</f>
        <v>0</v>
      </c>
    </row>
    <row r="25" spans="1:8">
      <c r="A25" s="511">
        <f>'10.Grain Production details'!A56</f>
        <v>0</v>
      </c>
      <c r="B25" s="511">
        <f>'10.Grain Production details'!B56</f>
        <v>0</v>
      </c>
      <c r="C25" s="511">
        <f>'10.Grain Production details'!C56</f>
        <v>0</v>
      </c>
      <c r="D25" s="511">
        <f>'10.Grain Production details'!D56</f>
        <v>0</v>
      </c>
      <c r="E25" s="511">
        <f>'10.Grain Production details'!E56</f>
        <v>0</v>
      </c>
      <c r="F25" s="511">
        <f>'10.Grain Production details'!F56</f>
        <v>0</v>
      </c>
      <c r="G25" s="511">
        <f>'10.Grain Production details'!G56</f>
        <v>0</v>
      </c>
      <c r="H25" s="511">
        <f>'10.Grain Production details'!H56</f>
        <v>0</v>
      </c>
    </row>
    <row r="26" spans="1:8">
      <c r="A26" s="511">
        <f>'10.Grain Production details'!A57</f>
        <v>0</v>
      </c>
      <c r="B26" s="511">
        <f>'10.Grain Production details'!B57</f>
        <v>0</v>
      </c>
      <c r="C26" s="511">
        <f>'10.Grain Production details'!C57</f>
        <v>0</v>
      </c>
      <c r="D26" s="511">
        <f>'10.Grain Production details'!D57</f>
        <v>0</v>
      </c>
      <c r="E26" s="511">
        <f>'10.Grain Production details'!E57</f>
        <v>0</v>
      </c>
      <c r="F26" s="511">
        <f>'10.Grain Production details'!F57</f>
        <v>0</v>
      </c>
      <c r="G26" s="511">
        <f>'10.Grain Production details'!G57</f>
        <v>0</v>
      </c>
      <c r="H26" s="511">
        <f>'10.Grain Production details'!H57</f>
        <v>0</v>
      </c>
    </row>
    <row r="27" spans="1:8">
      <c r="A27" s="511">
        <f>'10.Grain Production details'!A58</f>
        <v>0</v>
      </c>
      <c r="B27" s="511">
        <f>'10.Grain Production details'!B58</f>
        <v>0</v>
      </c>
      <c r="C27" s="511">
        <f>'10.Grain Production details'!C58</f>
        <v>0</v>
      </c>
      <c r="D27" s="511">
        <f>'10.Grain Production details'!D58</f>
        <v>0</v>
      </c>
      <c r="E27" s="511">
        <f>'10.Grain Production details'!E58</f>
        <v>0</v>
      </c>
      <c r="F27" s="511">
        <f>'10.Grain Production details'!F58</f>
        <v>0</v>
      </c>
      <c r="G27" s="511">
        <f>'10.Grain Production details'!G58</f>
        <v>0</v>
      </c>
      <c r="H27" s="511">
        <f>'10.Grain Production details'!H58</f>
        <v>0</v>
      </c>
    </row>
    <row r="28" spans="1:8">
      <c r="A28" s="513" t="str">
        <f>'10.Grain Production details'!A59</f>
        <v>Maize (Summer)</v>
      </c>
      <c r="B28" s="511">
        <f>'10.Grain Production details'!B59</f>
        <v>4257.8999999999996</v>
      </c>
      <c r="C28" s="511">
        <f>'10.Grain Production details'!C59</f>
        <v>4482</v>
      </c>
      <c r="D28" s="511">
        <f>'10.Grain Production details'!D59</f>
        <v>4706.1000000000004</v>
      </c>
      <c r="E28" s="511">
        <f>'10.Grain Production details'!E59</f>
        <v>4930.2000000000007</v>
      </c>
      <c r="F28" s="511">
        <f>'10.Grain Production details'!F59</f>
        <v>5154.3</v>
      </c>
      <c r="G28" s="511">
        <f>'10.Grain Production details'!G59</f>
        <v>5378.4000000000005</v>
      </c>
      <c r="H28" s="511">
        <f>'10.Grain Production details'!H59</f>
        <v>5602.5000000000009</v>
      </c>
    </row>
    <row r="29" spans="1:8">
      <c r="A29" s="513" t="str">
        <f>'10.Grain Production details'!A60</f>
        <v>Jawar (Summer)</v>
      </c>
      <c r="B29" s="511">
        <f>'10.Grain Production details'!B60</f>
        <v>3640.5044999999996</v>
      </c>
      <c r="C29" s="511">
        <f>'10.Grain Production details'!C60</f>
        <v>3832.1099999999997</v>
      </c>
      <c r="D29" s="511">
        <f>'10.Grain Production details'!D60</f>
        <v>4023.7154999999998</v>
      </c>
      <c r="E29" s="511">
        <f>'10.Grain Production details'!E60</f>
        <v>4215.3209999999999</v>
      </c>
      <c r="F29" s="511">
        <f>'10.Grain Production details'!F60</f>
        <v>4406.9265000000005</v>
      </c>
      <c r="G29" s="511">
        <f>'10.Grain Production details'!G60</f>
        <v>4598.5320000000011</v>
      </c>
      <c r="H29" s="511">
        <f>'10.Grain Production details'!H60</f>
        <v>4790.1375000000007</v>
      </c>
    </row>
    <row r="30" spans="1:8">
      <c r="A30" s="381">
        <f>'10.Grain Production details'!A61</f>
        <v>0</v>
      </c>
      <c r="B30" s="381">
        <f>'10.Grain Production details'!B61</f>
        <v>0</v>
      </c>
      <c r="C30" s="381">
        <f>'10.Grain Production details'!C61</f>
        <v>0</v>
      </c>
      <c r="D30" s="381">
        <f>'10.Grain Production details'!D61</f>
        <v>0</v>
      </c>
      <c r="E30" s="381">
        <f>'10.Grain Production details'!E61</f>
        <v>0</v>
      </c>
      <c r="F30" s="381">
        <f>'10.Grain Production details'!F61</f>
        <v>0</v>
      </c>
      <c r="G30" s="381">
        <f>'10.Grain Production details'!G61</f>
        <v>0</v>
      </c>
      <c r="H30" s="381">
        <f>'10.Grain Production details'!H61</f>
        <v>0</v>
      </c>
    </row>
    <row r="31" spans="1:8">
      <c r="A31" s="381">
        <f>'10.Grain Production details'!A62</f>
        <v>0</v>
      </c>
      <c r="B31" s="381">
        <f>'10.Grain Production details'!B62</f>
        <v>0</v>
      </c>
      <c r="C31" s="381">
        <f>'10.Grain Production details'!C62</f>
        <v>0</v>
      </c>
      <c r="D31" s="381">
        <f>'10.Grain Production details'!D62</f>
        <v>0</v>
      </c>
      <c r="E31" s="381">
        <f>'10.Grain Production details'!E62</f>
        <v>0</v>
      </c>
      <c r="F31" s="381">
        <f>'10.Grain Production details'!F62</f>
        <v>0</v>
      </c>
      <c r="G31" s="381">
        <f>'10.Grain Production details'!G62</f>
        <v>0</v>
      </c>
      <c r="H31" s="381">
        <f>'10.Grain Production details'!H62</f>
        <v>0</v>
      </c>
    </row>
    <row r="32" spans="1:8">
      <c r="A32" s="381">
        <f>'10.Grain Production details'!B63</f>
        <v>0</v>
      </c>
      <c r="B32" s="381">
        <f>'10.Grain Production details'!C63</f>
        <v>0</v>
      </c>
      <c r="C32" s="381">
        <f>'10.Grain Production details'!D63</f>
        <v>0</v>
      </c>
      <c r="D32" s="381">
        <f>'10.Grain Production details'!E63</f>
        <v>0</v>
      </c>
      <c r="E32" s="381">
        <f>'10.Grain Production details'!F63</f>
        <v>0</v>
      </c>
      <c r="F32" s="381">
        <f>'10.Grain Production details'!G63</f>
        <v>0</v>
      </c>
      <c r="G32" s="381">
        <f>'10.Grain Production details'!H63</f>
        <v>0</v>
      </c>
      <c r="H32" s="381">
        <f>'10.Grain Production details'!I63</f>
        <v>0</v>
      </c>
    </row>
    <row r="33" spans="1:8">
      <c r="A33" s="361" t="s">
        <v>494</v>
      </c>
      <c r="B33" s="403">
        <f>SUM(B11:B32)</f>
        <v>27200.884499999996</v>
      </c>
      <c r="C33" s="403">
        <f t="shared" ref="C33:H33" si="1">SUM(C11:C32)</f>
        <v>28632.51</v>
      </c>
      <c r="D33" s="403">
        <f t="shared" si="1"/>
        <v>30064.135499999997</v>
      </c>
      <c r="E33" s="403">
        <f t="shared" si="1"/>
        <v>31495.761000000002</v>
      </c>
      <c r="F33" s="403">
        <f t="shared" si="1"/>
        <v>32927.386500000001</v>
      </c>
      <c r="G33" s="403">
        <f t="shared" si="1"/>
        <v>34359.012000000002</v>
      </c>
      <c r="H33" s="403">
        <f t="shared" si="1"/>
        <v>35790.637499999997</v>
      </c>
    </row>
    <row r="34" spans="1:8">
      <c r="A34" s="381" t="str">
        <f>'11.F&amp;V Crop Production details'!A1:H1</f>
        <v>Fruit  &amp; Vegetables Crop Production Details</v>
      </c>
      <c r="B34" s="381"/>
      <c r="C34" s="381"/>
      <c r="D34" s="381"/>
      <c r="E34" s="381"/>
      <c r="F34" s="381"/>
      <c r="G34" s="381"/>
      <c r="H34" s="381"/>
    </row>
    <row r="35" spans="1:8">
      <c r="A35" s="381" t="str">
        <f>'11.F&amp;V Crop Production details'!A46</f>
        <v>Onion</v>
      </c>
      <c r="B35" s="381">
        <f>'11.F&amp;V Crop Production details'!B46</f>
        <v>0</v>
      </c>
      <c r="C35" s="381">
        <f>'11.F&amp;V Crop Production details'!C46</f>
        <v>0</v>
      </c>
      <c r="D35" s="381">
        <f>'11.F&amp;V Crop Production details'!D46</f>
        <v>0</v>
      </c>
      <c r="E35" s="381">
        <f>'11.F&amp;V Crop Production details'!E46</f>
        <v>0</v>
      </c>
      <c r="F35" s="381">
        <f>'11.F&amp;V Crop Production details'!F46</f>
        <v>0</v>
      </c>
      <c r="G35" s="381">
        <f>'11.F&amp;V Crop Production details'!G46</f>
        <v>0</v>
      </c>
      <c r="H35" s="381">
        <f>'11.F&amp;V Crop Production details'!H46</f>
        <v>0</v>
      </c>
    </row>
    <row r="36" spans="1:8">
      <c r="A36" s="381" t="str">
        <f>'11.F&amp;V Crop Production details'!A47</f>
        <v>Tomato</v>
      </c>
      <c r="B36" s="381">
        <f>'11.F&amp;V Crop Production details'!B47</f>
        <v>0</v>
      </c>
      <c r="C36" s="381">
        <f>'11.F&amp;V Crop Production details'!C47</f>
        <v>0</v>
      </c>
      <c r="D36" s="381">
        <f>'11.F&amp;V Crop Production details'!D47</f>
        <v>0</v>
      </c>
      <c r="E36" s="381">
        <f>'11.F&amp;V Crop Production details'!E47</f>
        <v>0</v>
      </c>
      <c r="F36" s="381">
        <f>'11.F&amp;V Crop Production details'!F47</f>
        <v>0</v>
      </c>
      <c r="G36" s="381">
        <f>'11.F&amp;V Crop Production details'!G47</f>
        <v>0</v>
      </c>
      <c r="H36" s="381">
        <f>'11.F&amp;V Crop Production details'!H47</f>
        <v>0</v>
      </c>
    </row>
    <row r="37" spans="1:8">
      <c r="A37" s="381" t="str">
        <f>'11.F&amp;V Crop Production details'!A48</f>
        <v>Okra</v>
      </c>
      <c r="B37" s="381">
        <f>'11.F&amp;V Crop Production details'!B48</f>
        <v>0</v>
      </c>
      <c r="C37" s="381">
        <f>'11.F&amp;V Crop Production details'!C48</f>
        <v>0</v>
      </c>
      <c r="D37" s="381">
        <f>'11.F&amp;V Crop Production details'!D48</f>
        <v>0</v>
      </c>
      <c r="E37" s="381">
        <f>'11.F&amp;V Crop Production details'!E48</f>
        <v>0</v>
      </c>
      <c r="F37" s="381">
        <f>'11.F&amp;V Crop Production details'!F48</f>
        <v>0</v>
      </c>
      <c r="G37" s="381">
        <f>'11.F&amp;V Crop Production details'!G48</f>
        <v>0</v>
      </c>
      <c r="H37" s="381">
        <f>'11.F&amp;V Crop Production details'!H48</f>
        <v>0</v>
      </c>
    </row>
    <row r="38" spans="1:8">
      <c r="A38" s="381" t="str">
        <f>'11.F&amp;V Crop Production details'!A49</f>
        <v>Chilli</v>
      </c>
      <c r="B38" s="381">
        <f>'11.F&amp;V Crop Production details'!B49</f>
        <v>0</v>
      </c>
      <c r="C38" s="381">
        <f>'11.F&amp;V Crop Production details'!C49</f>
        <v>0</v>
      </c>
      <c r="D38" s="381">
        <f>'11.F&amp;V Crop Production details'!D49</f>
        <v>0</v>
      </c>
      <c r="E38" s="381">
        <f>'11.F&amp;V Crop Production details'!E49</f>
        <v>0</v>
      </c>
      <c r="F38" s="381">
        <f>'11.F&amp;V Crop Production details'!F49</f>
        <v>0</v>
      </c>
      <c r="G38" s="381">
        <f>'11.F&amp;V Crop Production details'!G49</f>
        <v>0</v>
      </c>
      <c r="H38" s="381">
        <f>'11.F&amp;V Crop Production details'!H49</f>
        <v>0</v>
      </c>
    </row>
    <row r="39" spans="1:8">
      <c r="A39" s="381" t="str">
        <f>'11.F&amp;V Crop Production details'!A50</f>
        <v>Potato</v>
      </c>
      <c r="B39" s="381">
        <f>'11.F&amp;V Crop Production details'!B50</f>
        <v>0</v>
      </c>
      <c r="C39" s="381">
        <f>'11.F&amp;V Crop Production details'!C50</f>
        <v>0</v>
      </c>
      <c r="D39" s="381">
        <f>'11.F&amp;V Crop Production details'!D50</f>
        <v>0</v>
      </c>
      <c r="E39" s="381">
        <f>'11.F&amp;V Crop Production details'!E50</f>
        <v>0</v>
      </c>
      <c r="F39" s="381">
        <f>'11.F&amp;V Crop Production details'!F50</f>
        <v>0</v>
      </c>
      <c r="G39" s="381">
        <f>'11.F&amp;V Crop Production details'!G50</f>
        <v>0</v>
      </c>
      <c r="H39" s="381">
        <f>'11.F&amp;V Crop Production details'!H50</f>
        <v>0</v>
      </c>
    </row>
    <row r="40" spans="1:8">
      <c r="A40" s="381">
        <f>'11.F&amp;V Crop Production details'!A51</f>
        <v>0</v>
      </c>
      <c r="B40" s="381">
        <f>'11.F&amp;V Crop Production details'!B51</f>
        <v>0</v>
      </c>
      <c r="C40" s="381">
        <f>'11.F&amp;V Crop Production details'!C51</f>
        <v>0</v>
      </c>
      <c r="D40" s="381">
        <f>'11.F&amp;V Crop Production details'!D51</f>
        <v>0</v>
      </c>
      <c r="E40" s="381">
        <f>'11.F&amp;V Crop Production details'!E51</f>
        <v>0</v>
      </c>
      <c r="F40" s="381">
        <f>'11.F&amp;V Crop Production details'!F51</f>
        <v>0</v>
      </c>
      <c r="G40" s="381">
        <f>'11.F&amp;V Crop Production details'!G51</f>
        <v>0</v>
      </c>
      <c r="H40" s="381">
        <f>'11.F&amp;V Crop Production details'!H51</f>
        <v>0</v>
      </c>
    </row>
    <row r="41" spans="1:8">
      <c r="A41" s="381">
        <f>'11.F&amp;V Crop Production details'!A52</f>
        <v>0</v>
      </c>
      <c r="B41" s="381">
        <f>'11.F&amp;V Crop Production details'!B52</f>
        <v>0</v>
      </c>
      <c r="C41" s="381">
        <f>'11.F&amp;V Crop Production details'!C52</f>
        <v>0</v>
      </c>
      <c r="D41" s="381">
        <f>'11.F&amp;V Crop Production details'!D52</f>
        <v>0</v>
      </c>
      <c r="E41" s="381">
        <f>'11.F&amp;V Crop Production details'!E52</f>
        <v>0</v>
      </c>
      <c r="F41" s="381">
        <f>'11.F&amp;V Crop Production details'!F52</f>
        <v>0</v>
      </c>
      <c r="G41" s="381">
        <f>'11.F&amp;V Crop Production details'!G52</f>
        <v>0</v>
      </c>
      <c r="H41" s="381">
        <f>'11.F&amp;V Crop Production details'!H52</f>
        <v>0</v>
      </c>
    </row>
    <row r="42" spans="1:8">
      <c r="A42" s="381">
        <f>'11.F&amp;V Crop Production details'!A53</f>
        <v>0</v>
      </c>
      <c r="B42" s="381">
        <f>'11.F&amp;V Crop Production details'!B53</f>
        <v>0</v>
      </c>
      <c r="C42" s="381">
        <f>'11.F&amp;V Crop Production details'!C53</f>
        <v>0</v>
      </c>
      <c r="D42" s="381">
        <f>'11.F&amp;V Crop Production details'!D53</f>
        <v>0</v>
      </c>
      <c r="E42" s="381">
        <f>'11.F&amp;V Crop Production details'!E53</f>
        <v>0</v>
      </c>
      <c r="F42" s="381">
        <f>'11.F&amp;V Crop Production details'!F53</f>
        <v>0</v>
      </c>
      <c r="G42" s="381">
        <f>'11.F&amp;V Crop Production details'!G53</f>
        <v>0</v>
      </c>
      <c r="H42" s="381">
        <f>'11.F&amp;V Crop Production details'!H53</f>
        <v>0</v>
      </c>
    </row>
    <row r="43" spans="1:8">
      <c r="A43" s="381">
        <f>'11.F&amp;V Crop Production details'!A54</f>
        <v>0</v>
      </c>
      <c r="B43" s="381">
        <f>'11.F&amp;V Crop Production details'!B54</f>
        <v>0</v>
      </c>
      <c r="C43" s="381">
        <f>'11.F&amp;V Crop Production details'!C54</f>
        <v>0</v>
      </c>
      <c r="D43" s="381">
        <f>'11.F&amp;V Crop Production details'!D54</f>
        <v>0</v>
      </c>
      <c r="E43" s="381">
        <f>'11.F&amp;V Crop Production details'!E54</f>
        <v>0</v>
      </c>
      <c r="F43" s="381">
        <f>'11.F&amp;V Crop Production details'!F54</f>
        <v>0</v>
      </c>
      <c r="G43" s="381">
        <f>'11.F&amp;V Crop Production details'!G54</f>
        <v>0</v>
      </c>
      <c r="H43" s="381">
        <f>'11.F&amp;V Crop Production details'!H54</f>
        <v>0</v>
      </c>
    </row>
    <row r="44" spans="1:8">
      <c r="A44" s="381" t="str">
        <f>'11.F&amp;V Crop Production details'!A55</f>
        <v>Onion</v>
      </c>
      <c r="B44" s="381">
        <f>'11.F&amp;V Crop Production details'!B55</f>
        <v>0</v>
      </c>
      <c r="C44" s="381">
        <f>'11.F&amp;V Crop Production details'!C55</f>
        <v>0</v>
      </c>
      <c r="D44" s="381">
        <f>'11.F&amp;V Crop Production details'!D55</f>
        <v>0</v>
      </c>
      <c r="E44" s="381">
        <f>'11.F&amp;V Crop Production details'!E55</f>
        <v>0</v>
      </c>
      <c r="F44" s="381">
        <f>'11.F&amp;V Crop Production details'!F55</f>
        <v>0</v>
      </c>
      <c r="G44" s="381">
        <f>'11.F&amp;V Crop Production details'!G55</f>
        <v>0</v>
      </c>
      <c r="H44" s="381">
        <f>'11.F&amp;V Crop Production details'!H55</f>
        <v>0</v>
      </c>
    </row>
    <row r="45" spans="1:8">
      <c r="A45" s="381" t="str">
        <f>'11.F&amp;V Crop Production details'!A56</f>
        <v>Tomato</v>
      </c>
      <c r="B45" s="381">
        <f>'11.F&amp;V Crop Production details'!B56</f>
        <v>0</v>
      </c>
      <c r="C45" s="381">
        <f>'11.F&amp;V Crop Production details'!C56</f>
        <v>0</v>
      </c>
      <c r="D45" s="381">
        <f>'11.F&amp;V Crop Production details'!D56</f>
        <v>0</v>
      </c>
      <c r="E45" s="381">
        <f>'11.F&amp;V Crop Production details'!E56</f>
        <v>0</v>
      </c>
      <c r="F45" s="381">
        <f>'11.F&amp;V Crop Production details'!F56</f>
        <v>0</v>
      </c>
      <c r="G45" s="381">
        <f>'11.F&amp;V Crop Production details'!G56</f>
        <v>0</v>
      </c>
      <c r="H45" s="381">
        <f>'11.F&amp;V Crop Production details'!H56</f>
        <v>0</v>
      </c>
    </row>
    <row r="46" spans="1:8">
      <c r="A46" s="381" t="str">
        <f>'11.F&amp;V Crop Production details'!A57</f>
        <v>Okra</v>
      </c>
      <c r="B46" s="381">
        <f>'11.F&amp;V Crop Production details'!B57</f>
        <v>0</v>
      </c>
      <c r="C46" s="381">
        <f>'11.F&amp;V Crop Production details'!C57</f>
        <v>0</v>
      </c>
      <c r="D46" s="381">
        <f>'11.F&amp;V Crop Production details'!D57</f>
        <v>0</v>
      </c>
      <c r="E46" s="381">
        <f>'11.F&amp;V Crop Production details'!E57</f>
        <v>0</v>
      </c>
      <c r="F46" s="381">
        <f>'11.F&amp;V Crop Production details'!F57</f>
        <v>0</v>
      </c>
      <c r="G46" s="381">
        <f>'11.F&amp;V Crop Production details'!G57</f>
        <v>0</v>
      </c>
      <c r="H46" s="381">
        <f>'11.F&amp;V Crop Production details'!H57</f>
        <v>0</v>
      </c>
    </row>
    <row r="47" spans="1:8">
      <c r="A47" s="381" t="str">
        <f>'11.F&amp;V Crop Production details'!A58</f>
        <v>Chilli</v>
      </c>
      <c r="B47" s="381">
        <f>'11.F&amp;V Crop Production details'!B58</f>
        <v>0</v>
      </c>
      <c r="C47" s="381">
        <f>'11.F&amp;V Crop Production details'!C58</f>
        <v>0</v>
      </c>
      <c r="D47" s="381">
        <f>'11.F&amp;V Crop Production details'!D58</f>
        <v>0</v>
      </c>
      <c r="E47" s="381">
        <f>'11.F&amp;V Crop Production details'!E58</f>
        <v>0</v>
      </c>
      <c r="F47" s="381">
        <f>'11.F&amp;V Crop Production details'!F58</f>
        <v>0</v>
      </c>
      <c r="G47" s="381">
        <f>'11.F&amp;V Crop Production details'!G58</f>
        <v>0</v>
      </c>
      <c r="H47" s="381">
        <f>'11.F&amp;V Crop Production details'!H58</f>
        <v>0</v>
      </c>
    </row>
    <row r="48" spans="1:8">
      <c r="A48" s="381" t="str">
        <f>'11.F&amp;V Crop Production details'!A59</f>
        <v>Brinjal</v>
      </c>
      <c r="B48" s="381">
        <f>'11.F&amp;V Crop Production details'!B59</f>
        <v>0</v>
      </c>
      <c r="C48" s="381">
        <f>'11.F&amp;V Crop Production details'!C59</f>
        <v>0</v>
      </c>
      <c r="D48" s="381">
        <f>'11.F&amp;V Crop Production details'!D59</f>
        <v>0</v>
      </c>
      <c r="E48" s="381">
        <f>'11.F&amp;V Crop Production details'!E59</f>
        <v>0</v>
      </c>
      <c r="F48" s="381">
        <f>'11.F&amp;V Crop Production details'!F59</f>
        <v>0</v>
      </c>
      <c r="G48" s="381">
        <f>'11.F&amp;V Crop Production details'!G59</f>
        <v>0</v>
      </c>
      <c r="H48" s="381">
        <f>'11.F&amp;V Crop Production details'!H59</f>
        <v>0</v>
      </c>
    </row>
    <row r="49" spans="1:8">
      <c r="A49" s="381">
        <f>'11.F&amp;V Crop Production details'!A60</f>
        <v>0</v>
      </c>
      <c r="B49" s="381">
        <f>'11.F&amp;V Crop Production details'!B60</f>
        <v>0</v>
      </c>
      <c r="C49" s="381">
        <f>'11.F&amp;V Crop Production details'!C60</f>
        <v>0</v>
      </c>
      <c r="D49" s="381">
        <f>'11.F&amp;V Crop Production details'!D60</f>
        <v>0</v>
      </c>
      <c r="E49" s="381">
        <f>'11.F&amp;V Crop Production details'!E60</f>
        <v>0</v>
      </c>
      <c r="F49" s="381">
        <f>'11.F&amp;V Crop Production details'!F60</f>
        <v>0</v>
      </c>
      <c r="G49" s="381">
        <f>'11.F&amp;V Crop Production details'!G60</f>
        <v>0</v>
      </c>
      <c r="H49" s="381">
        <f>'11.F&amp;V Crop Production details'!H60</f>
        <v>0</v>
      </c>
    </row>
    <row r="50" spans="1:8">
      <c r="A50" s="381">
        <f>'11.F&amp;V Crop Production details'!A61</f>
        <v>0</v>
      </c>
      <c r="B50" s="381">
        <f>'11.F&amp;V Crop Production details'!B61</f>
        <v>0</v>
      </c>
      <c r="C50" s="381">
        <f>'11.F&amp;V Crop Production details'!C61</f>
        <v>0</v>
      </c>
      <c r="D50" s="381">
        <f>'11.F&amp;V Crop Production details'!D61</f>
        <v>0</v>
      </c>
      <c r="E50" s="381">
        <f>'11.F&amp;V Crop Production details'!E61</f>
        <v>0</v>
      </c>
      <c r="F50" s="381">
        <f>'11.F&amp;V Crop Production details'!F61</f>
        <v>0</v>
      </c>
      <c r="G50" s="381">
        <f>'11.F&amp;V Crop Production details'!G61</f>
        <v>0</v>
      </c>
      <c r="H50" s="381">
        <f>'11.F&amp;V Crop Production details'!H61</f>
        <v>0</v>
      </c>
    </row>
    <row r="51" spans="1:8">
      <c r="A51" s="381">
        <f>'11.F&amp;V Crop Production details'!A62</f>
        <v>0</v>
      </c>
      <c r="B51" s="381">
        <f>'11.F&amp;V Crop Production details'!B62</f>
        <v>0</v>
      </c>
      <c r="C51" s="381">
        <f>'11.F&amp;V Crop Production details'!C62</f>
        <v>0</v>
      </c>
      <c r="D51" s="381">
        <f>'11.F&amp;V Crop Production details'!D62</f>
        <v>0</v>
      </c>
      <c r="E51" s="381">
        <f>'11.F&amp;V Crop Production details'!E62</f>
        <v>0</v>
      </c>
      <c r="F51" s="381">
        <f>'11.F&amp;V Crop Production details'!F62</f>
        <v>0</v>
      </c>
      <c r="G51" s="381">
        <f>'11.F&amp;V Crop Production details'!G62</f>
        <v>0</v>
      </c>
      <c r="H51" s="381">
        <f>'11.F&amp;V Crop Production details'!H62</f>
        <v>0</v>
      </c>
    </row>
    <row r="52" spans="1:8">
      <c r="A52" s="381">
        <f>'11.F&amp;V Crop Production details'!A63</f>
        <v>0</v>
      </c>
      <c r="B52" s="381">
        <f>'11.F&amp;V Crop Production details'!B63</f>
        <v>0</v>
      </c>
      <c r="C52" s="381">
        <f>'11.F&amp;V Crop Production details'!C63</f>
        <v>0</v>
      </c>
      <c r="D52" s="381">
        <f>'11.F&amp;V Crop Production details'!D63</f>
        <v>0</v>
      </c>
      <c r="E52" s="381">
        <f>'11.F&amp;V Crop Production details'!E63</f>
        <v>0</v>
      </c>
      <c r="F52" s="381">
        <f>'11.F&amp;V Crop Production details'!F63</f>
        <v>0</v>
      </c>
      <c r="G52" s="381">
        <f>'11.F&amp;V Crop Production details'!G63</f>
        <v>0</v>
      </c>
      <c r="H52" s="381">
        <f>'11.F&amp;V Crop Production details'!H63</f>
        <v>0</v>
      </c>
    </row>
    <row r="53" spans="1:8">
      <c r="A53" s="381">
        <f>'11.F&amp;V Crop Production details'!A64</f>
        <v>0</v>
      </c>
      <c r="B53" s="381"/>
      <c r="C53" s="381"/>
      <c r="D53" s="381"/>
      <c r="E53" s="381"/>
      <c r="F53" s="381"/>
      <c r="G53" s="381"/>
      <c r="H53" s="381"/>
    </row>
    <row r="54" spans="1:8">
      <c r="A54" s="381">
        <f>'11.F&amp;V Crop Production details'!A65</f>
        <v>0</v>
      </c>
      <c r="B54" s="381"/>
      <c r="C54" s="381"/>
      <c r="D54" s="381"/>
      <c r="E54" s="381"/>
      <c r="F54" s="381"/>
      <c r="G54" s="381"/>
      <c r="H54" s="381"/>
    </row>
    <row r="55" spans="1:8">
      <c r="A55" s="381">
        <f>'11.F&amp;V Crop Production details'!A66</f>
        <v>0</v>
      </c>
      <c r="B55" s="381"/>
      <c r="C55" s="381"/>
      <c r="D55" s="381"/>
      <c r="E55" s="381"/>
      <c r="F55" s="381"/>
      <c r="G55" s="381"/>
      <c r="H55" s="381"/>
    </row>
    <row r="56" spans="1:8">
      <c r="A56" s="381" t="str">
        <f>'11.F&amp;V Crop Production details'!A67</f>
        <v>Pomegranate</v>
      </c>
      <c r="B56" s="381">
        <f>'11.F&amp;V Crop Production details'!B67</f>
        <v>0</v>
      </c>
      <c r="C56" s="381">
        <f>'11.F&amp;V Crop Production details'!C67</f>
        <v>0</v>
      </c>
      <c r="D56" s="381">
        <f>'11.F&amp;V Crop Production details'!D67</f>
        <v>0</v>
      </c>
      <c r="E56" s="381">
        <f>'11.F&amp;V Crop Production details'!E67</f>
        <v>0</v>
      </c>
      <c r="F56" s="381">
        <f>'11.F&amp;V Crop Production details'!F67</f>
        <v>0</v>
      </c>
      <c r="G56" s="381">
        <f>'11.F&amp;V Crop Production details'!G67</f>
        <v>0</v>
      </c>
      <c r="H56" s="381">
        <f>'11.F&amp;V Crop Production details'!H67</f>
        <v>0</v>
      </c>
    </row>
    <row r="57" spans="1:8">
      <c r="A57" s="381" t="str">
        <f>'11.F&amp;V Crop Production details'!A68</f>
        <v>Custard Apple</v>
      </c>
      <c r="B57" s="381">
        <f>'11.F&amp;V Crop Production details'!B68</f>
        <v>0</v>
      </c>
      <c r="C57" s="381">
        <f>'11.F&amp;V Crop Production details'!C68</f>
        <v>0</v>
      </c>
      <c r="D57" s="381">
        <f>'11.F&amp;V Crop Production details'!D68</f>
        <v>0</v>
      </c>
      <c r="E57" s="381">
        <f>'11.F&amp;V Crop Production details'!E68</f>
        <v>0</v>
      </c>
      <c r="F57" s="381">
        <f>'11.F&amp;V Crop Production details'!F68</f>
        <v>0</v>
      </c>
      <c r="G57" s="381">
        <f>'11.F&amp;V Crop Production details'!G68</f>
        <v>0</v>
      </c>
      <c r="H57" s="381">
        <f>'11.F&amp;V Crop Production details'!H68</f>
        <v>0</v>
      </c>
    </row>
    <row r="58" spans="1:8">
      <c r="A58" s="381" t="str">
        <f>'11.F&amp;V Crop Production details'!A69</f>
        <v>Guava</v>
      </c>
      <c r="B58" s="381">
        <f>'11.F&amp;V Crop Production details'!B69</f>
        <v>0</v>
      </c>
      <c r="C58" s="381">
        <f>'11.F&amp;V Crop Production details'!C69</f>
        <v>0</v>
      </c>
      <c r="D58" s="381">
        <f>'11.F&amp;V Crop Production details'!D69</f>
        <v>0</v>
      </c>
      <c r="E58" s="381">
        <f>'11.F&amp;V Crop Production details'!E69</f>
        <v>0</v>
      </c>
      <c r="F58" s="381">
        <f>'11.F&amp;V Crop Production details'!F69</f>
        <v>0</v>
      </c>
      <c r="G58" s="381">
        <f>'11.F&amp;V Crop Production details'!G69</f>
        <v>0</v>
      </c>
      <c r="H58" s="381">
        <f>'11.F&amp;V Crop Production details'!H69</f>
        <v>0</v>
      </c>
    </row>
    <row r="59" spans="1:8">
      <c r="A59" s="381" t="str">
        <f>'11.F&amp;V Crop Production details'!A70</f>
        <v>Citrus</v>
      </c>
      <c r="B59" s="381">
        <f>'11.F&amp;V Crop Production details'!B70</f>
        <v>0</v>
      </c>
      <c r="C59" s="381">
        <f>'11.F&amp;V Crop Production details'!C70</f>
        <v>0</v>
      </c>
      <c r="D59" s="381">
        <f>'11.F&amp;V Crop Production details'!D70</f>
        <v>0</v>
      </c>
      <c r="E59" s="381">
        <f>'11.F&amp;V Crop Production details'!E70</f>
        <v>0</v>
      </c>
      <c r="F59" s="381">
        <f>'11.F&amp;V Crop Production details'!F70</f>
        <v>0</v>
      </c>
      <c r="G59" s="381">
        <f>'11.F&amp;V Crop Production details'!G70</f>
        <v>0</v>
      </c>
      <c r="H59" s="381">
        <f>'11.F&amp;V Crop Production details'!H70</f>
        <v>0</v>
      </c>
    </row>
    <row r="60" spans="1:8">
      <c r="A60" s="381"/>
      <c r="B60" s="381"/>
      <c r="C60" s="381"/>
      <c r="D60" s="381"/>
      <c r="E60" s="381"/>
      <c r="F60" s="381"/>
      <c r="G60" s="381"/>
      <c r="H60" s="381"/>
    </row>
    <row r="61" spans="1:8">
      <c r="A61" s="332" t="s">
        <v>493</v>
      </c>
      <c r="B61" s="381">
        <f t="shared" ref="B61:H61" si="2">SUM(B35:B59)</f>
        <v>0</v>
      </c>
      <c r="C61" s="381">
        <f t="shared" si="2"/>
        <v>0</v>
      </c>
      <c r="D61" s="381">
        <f t="shared" si="2"/>
        <v>0</v>
      </c>
      <c r="E61" s="381">
        <f t="shared" si="2"/>
        <v>0</v>
      </c>
      <c r="F61" s="381">
        <f t="shared" si="2"/>
        <v>0</v>
      </c>
      <c r="G61" s="381">
        <f t="shared" si="2"/>
        <v>0</v>
      </c>
      <c r="H61" s="381">
        <f t="shared" si="2"/>
        <v>0</v>
      </c>
    </row>
    <row r="62" spans="1:8">
      <c r="A62" s="382" t="s">
        <v>495</v>
      </c>
      <c r="B62" s="366">
        <v>0</v>
      </c>
      <c r="C62" s="366">
        <v>0</v>
      </c>
      <c r="D62" s="366">
        <v>0</v>
      </c>
      <c r="E62" s="366">
        <v>0</v>
      </c>
      <c r="F62" s="366">
        <v>0</v>
      </c>
      <c r="G62" s="366">
        <v>0</v>
      </c>
      <c r="H62" s="366">
        <v>0</v>
      </c>
    </row>
    <row r="63" spans="1:8">
      <c r="A63" s="382" t="s">
        <v>496</v>
      </c>
      <c r="B63" s="366">
        <f t="shared" ref="B63:H63" si="3">1-B62</f>
        <v>1</v>
      </c>
      <c r="C63" s="366">
        <f t="shared" si="3"/>
        <v>1</v>
      </c>
      <c r="D63" s="366">
        <f t="shared" si="3"/>
        <v>1</v>
      </c>
      <c r="E63" s="366">
        <f t="shared" si="3"/>
        <v>1</v>
      </c>
      <c r="F63" s="366">
        <f t="shared" si="3"/>
        <v>1</v>
      </c>
      <c r="G63" s="366">
        <f t="shared" si="3"/>
        <v>1</v>
      </c>
      <c r="H63" s="366">
        <f t="shared" si="3"/>
        <v>1</v>
      </c>
    </row>
    <row r="64" spans="1:8">
      <c r="A64" s="382"/>
      <c r="B64" s="366"/>
      <c r="C64" s="366"/>
      <c r="D64" s="366"/>
      <c r="E64" s="366"/>
      <c r="F64" s="366"/>
      <c r="G64" s="366"/>
      <c r="H64" s="366"/>
    </row>
    <row r="65" spans="1:8">
      <c r="A65" s="382" t="s">
        <v>163</v>
      </c>
      <c r="B65" s="383">
        <f t="shared" ref="B65:H65" si="4">B33*B62</f>
        <v>0</v>
      </c>
      <c r="C65" s="383">
        <f t="shared" si="4"/>
        <v>0</v>
      </c>
      <c r="D65" s="383">
        <f t="shared" si="4"/>
        <v>0</v>
      </c>
      <c r="E65" s="383">
        <f t="shared" si="4"/>
        <v>0</v>
      </c>
      <c r="F65" s="383">
        <f t="shared" si="4"/>
        <v>0</v>
      </c>
      <c r="G65" s="383">
        <f t="shared" si="4"/>
        <v>0</v>
      </c>
      <c r="H65" s="383">
        <f t="shared" si="4"/>
        <v>0</v>
      </c>
    </row>
    <row r="66" spans="1:8">
      <c r="A66" s="332"/>
      <c r="B66" s="381"/>
      <c r="C66" s="381"/>
      <c r="D66" s="381"/>
      <c r="E66" s="381"/>
      <c r="F66" s="381"/>
      <c r="G66" s="381"/>
      <c r="H66" s="381"/>
    </row>
    <row r="67" spans="1:8">
      <c r="A67" s="384" t="s">
        <v>787</v>
      </c>
      <c r="B67" s="381"/>
      <c r="C67" s="381"/>
      <c r="D67" s="381"/>
      <c r="E67" s="381"/>
      <c r="F67" s="381"/>
      <c r="G67" s="381"/>
      <c r="H67" s="381"/>
    </row>
    <row r="68" spans="1:8">
      <c r="A68" s="361" t="str">
        <f t="shared" ref="A68:A89" si="5">A11</f>
        <v>Maize (Kharif)</v>
      </c>
      <c r="B68" s="398">
        <f t="shared" ref="B68:B89" si="6">B11*$B$63</f>
        <v>7096.5</v>
      </c>
      <c r="C68" s="398">
        <f t="shared" ref="C68:C83" si="7">C11*$C$63</f>
        <v>7470</v>
      </c>
      <c r="D68" s="398">
        <f t="shared" ref="D68:D83" si="8">D11*$D$63</f>
        <v>7843.5</v>
      </c>
      <c r="E68" s="398">
        <f t="shared" ref="E68:E83" si="9">E11*$E$63</f>
        <v>8217</v>
      </c>
      <c r="F68" s="398">
        <f t="shared" ref="F68:F83" si="10">F11*$F$63</f>
        <v>8590.5</v>
      </c>
      <c r="G68" s="398">
        <f t="shared" ref="G68:G83" si="11">G11*$G$63</f>
        <v>8964</v>
      </c>
      <c r="H68" s="398">
        <f t="shared" ref="H68:H83" si="12">H11*$H$63</f>
        <v>9337.5</v>
      </c>
    </row>
    <row r="69" spans="1:8">
      <c r="A69" s="332" t="str">
        <f t="shared" si="5"/>
        <v>Red Gram/Tur</v>
      </c>
      <c r="B69" s="385">
        <f t="shared" si="6"/>
        <v>0</v>
      </c>
      <c r="C69" s="385">
        <f t="shared" si="7"/>
        <v>0</v>
      </c>
      <c r="D69" s="385">
        <f t="shared" si="8"/>
        <v>0</v>
      </c>
      <c r="E69" s="385">
        <f t="shared" si="9"/>
        <v>0</v>
      </c>
      <c r="F69" s="385">
        <f t="shared" si="10"/>
        <v>0</v>
      </c>
      <c r="G69" s="385">
        <f t="shared" si="11"/>
        <v>0</v>
      </c>
      <c r="H69" s="385">
        <f t="shared" si="12"/>
        <v>0</v>
      </c>
    </row>
    <row r="70" spans="1:8">
      <c r="A70" s="332" t="str">
        <f t="shared" si="5"/>
        <v>Paddy/Rice</v>
      </c>
      <c r="B70" s="385">
        <f t="shared" si="6"/>
        <v>0</v>
      </c>
      <c r="C70" s="385">
        <f t="shared" si="7"/>
        <v>0</v>
      </c>
      <c r="D70" s="385">
        <f t="shared" si="8"/>
        <v>0</v>
      </c>
      <c r="E70" s="385">
        <f t="shared" si="9"/>
        <v>0</v>
      </c>
      <c r="F70" s="385">
        <f t="shared" si="10"/>
        <v>0</v>
      </c>
      <c r="G70" s="385">
        <f t="shared" si="11"/>
        <v>0</v>
      </c>
      <c r="H70" s="385">
        <f t="shared" si="12"/>
        <v>0</v>
      </c>
    </row>
    <row r="71" spans="1:8">
      <c r="A71" s="332" t="str">
        <f t="shared" si="5"/>
        <v>Green Gram/ Moong</v>
      </c>
      <c r="B71" s="385">
        <f t="shared" si="6"/>
        <v>0</v>
      </c>
      <c r="C71" s="385">
        <f t="shared" si="7"/>
        <v>0</v>
      </c>
      <c r="D71" s="385">
        <f t="shared" si="8"/>
        <v>0</v>
      </c>
      <c r="E71" s="385">
        <f t="shared" si="9"/>
        <v>0</v>
      </c>
      <c r="F71" s="385">
        <f t="shared" si="10"/>
        <v>0</v>
      </c>
      <c r="G71" s="385">
        <f t="shared" si="11"/>
        <v>0</v>
      </c>
      <c r="H71" s="385">
        <f t="shared" si="12"/>
        <v>0</v>
      </c>
    </row>
    <row r="72" spans="1:8">
      <c r="A72" s="332" t="str">
        <f t="shared" si="5"/>
        <v>Soyabean</v>
      </c>
      <c r="B72" s="385">
        <f t="shared" si="6"/>
        <v>0</v>
      </c>
      <c r="C72" s="385">
        <f t="shared" si="7"/>
        <v>0</v>
      </c>
      <c r="D72" s="385">
        <f t="shared" si="8"/>
        <v>0</v>
      </c>
      <c r="E72" s="385">
        <f t="shared" si="9"/>
        <v>0</v>
      </c>
      <c r="F72" s="385">
        <f t="shared" si="10"/>
        <v>0</v>
      </c>
      <c r="G72" s="385">
        <f t="shared" si="11"/>
        <v>0</v>
      </c>
      <c r="H72" s="385">
        <f t="shared" si="12"/>
        <v>0</v>
      </c>
    </row>
    <row r="73" spans="1:8">
      <c r="A73" s="332" t="str">
        <f t="shared" si="5"/>
        <v>Black Gram/Udid</v>
      </c>
      <c r="B73" s="385">
        <f t="shared" si="6"/>
        <v>0</v>
      </c>
      <c r="C73" s="385">
        <f t="shared" si="7"/>
        <v>0</v>
      </c>
      <c r="D73" s="385">
        <f t="shared" si="8"/>
        <v>0</v>
      </c>
      <c r="E73" s="385">
        <f t="shared" si="9"/>
        <v>0</v>
      </c>
      <c r="F73" s="385">
        <f t="shared" si="10"/>
        <v>0</v>
      </c>
      <c r="G73" s="385">
        <f t="shared" si="11"/>
        <v>0</v>
      </c>
      <c r="H73" s="385">
        <f t="shared" si="12"/>
        <v>0</v>
      </c>
    </row>
    <row r="74" spans="1:8">
      <c r="A74" s="361" t="str">
        <f t="shared" si="5"/>
        <v>Bajra (Kharif)</v>
      </c>
      <c r="B74" s="385">
        <f t="shared" si="6"/>
        <v>2128.9499999999998</v>
      </c>
      <c r="C74" s="385">
        <f t="shared" si="7"/>
        <v>2241</v>
      </c>
      <c r="D74" s="385">
        <f t="shared" si="8"/>
        <v>2353.0500000000002</v>
      </c>
      <c r="E74" s="385">
        <f t="shared" si="9"/>
        <v>2465.1000000000004</v>
      </c>
      <c r="F74" s="385">
        <f t="shared" si="10"/>
        <v>2577.15</v>
      </c>
      <c r="G74" s="385">
        <f t="shared" si="11"/>
        <v>2689.2000000000003</v>
      </c>
      <c r="H74" s="385">
        <f t="shared" si="12"/>
        <v>2801.2500000000005</v>
      </c>
    </row>
    <row r="75" spans="1:8">
      <c r="A75" s="332" t="str">
        <f t="shared" si="5"/>
        <v>Jawar</v>
      </c>
      <c r="B75" s="385">
        <f t="shared" si="6"/>
        <v>0</v>
      </c>
      <c r="C75" s="385">
        <f t="shared" si="7"/>
        <v>0</v>
      </c>
      <c r="D75" s="385">
        <f t="shared" si="8"/>
        <v>0</v>
      </c>
      <c r="E75" s="385">
        <f t="shared" si="9"/>
        <v>0</v>
      </c>
      <c r="F75" s="385">
        <f t="shared" si="10"/>
        <v>0</v>
      </c>
      <c r="G75" s="385">
        <f t="shared" si="11"/>
        <v>0</v>
      </c>
      <c r="H75" s="385">
        <f t="shared" si="12"/>
        <v>0</v>
      </c>
    </row>
    <row r="76" spans="1:8">
      <c r="A76" s="332" t="str">
        <f t="shared" si="5"/>
        <v>Sunflower</v>
      </c>
      <c r="B76" s="385">
        <f t="shared" si="6"/>
        <v>0</v>
      </c>
      <c r="C76" s="385">
        <f t="shared" si="7"/>
        <v>0</v>
      </c>
      <c r="D76" s="385">
        <f t="shared" si="8"/>
        <v>0</v>
      </c>
      <c r="E76" s="385">
        <f t="shared" si="9"/>
        <v>0</v>
      </c>
      <c r="F76" s="385">
        <f t="shared" si="10"/>
        <v>0</v>
      </c>
      <c r="G76" s="385">
        <f t="shared" si="11"/>
        <v>0</v>
      </c>
      <c r="H76" s="385">
        <f t="shared" si="12"/>
        <v>0</v>
      </c>
    </row>
    <row r="77" spans="1:8">
      <c r="A77" s="514" t="str">
        <f t="shared" si="5"/>
        <v>Maize (Rabbi)</v>
      </c>
      <c r="B77" s="398">
        <f t="shared" si="6"/>
        <v>4967.5499999999993</v>
      </c>
      <c r="C77" s="398">
        <f t="shared" si="7"/>
        <v>5228.9999999999991</v>
      </c>
      <c r="D77" s="398">
        <f t="shared" si="8"/>
        <v>5490.4499999999989</v>
      </c>
      <c r="E77" s="398">
        <f t="shared" si="9"/>
        <v>5751.9</v>
      </c>
      <c r="F77" s="398">
        <f t="shared" si="10"/>
        <v>6013.3499999999995</v>
      </c>
      <c r="G77" s="398">
        <f t="shared" si="11"/>
        <v>6274.8</v>
      </c>
      <c r="H77" s="398">
        <f t="shared" si="12"/>
        <v>6536.25</v>
      </c>
    </row>
    <row r="78" spans="1:8">
      <c r="A78" s="514" t="str">
        <f t="shared" si="5"/>
        <v>Gram (Rabbi)</v>
      </c>
      <c r="B78" s="358">
        <f t="shared" si="6"/>
        <v>1703.1599999999999</v>
      </c>
      <c r="C78" s="385">
        <f t="shared" si="7"/>
        <v>1792.8</v>
      </c>
      <c r="D78" s="385">
        <f t="shared" si="8"/>
        <v>1882.44</v>
      </c>
      <c r="E78" s="385">
        <f t="shared" si="9"/>
        <v>1972.0800000000002</v>
      </c>
      <c r="F78" s="385">
        <f t="shared" si="10"/>
        <v>2061.7200000000003</v>
      </c>
      <c r="G78" s="385">
        <f t="shared" si="11"/>
        <v>2151.36</v>
      </c>
      <c r="H78" s="385">
        <f t="shared" si="12"/>
        <v>2241</v>
      </c>
    </row>
    <row r="79" spans="1:8">
      <c r="A79" s="514" t="str">
        <f t="shared" si="5"/>
        <v>Wheat (Rabbi)</v>
      </c>
      <c r="B79" s="385">
        <f t="shared" si="6"/>
        <v>3406.3199999999997</v>
      </c>
      <c r="C79" s="385">
        <f t="shared" si="7"/>
        <v>3585.6</v>
      </c>
      <c r="D79" s="385">
        <f t="shared" si="8"/>
        <v>3764.88</v>
      </c>
      <c r="E79" s="385">
        <f t="shared" si="9"/>
        <v>3944.1600000000003</v>
      </c>
      <c r="F79" s="385">
        <f t="shared" si="10"/>
        <v>4123.4400000000005</v>
      </c>
      <c r="G79" s="385">
        <f t="shared" si="11"/>
        <v>4302.72</v>
      </c>
      <c r="H79" s="385">
        <f t="shared" si="12"/>
        <v>4482</v>
      </c>
    </row>
    <row r="80" spans="1:8">
      <c r="A80" s="332">
        <f t="shared" si="5"/>
        <v>0</v>
      </c>
      <c r="B80" s="385">
        <f t="shared" si="6"/>
        <v>0</v>
      </c>
      <c r="C80" s="385">
        <f t="shared" si="7"/>
        <v>0</v>
      </c>
      <c r="D80" s="385">
        <f t="shared" si="8"/>
        <v>0</v>
      </c>
      <c r="E80" s="385">
        <f t="shared" si="9"/>
        <v>0</v>
      </c>
      <c r="F80" s="385">
        <f t="shared" si="10"/>
        <v>0</v>
      </c>
      <c r="G80" s="385">
        <f t="shared" si="11"/>
        <v>0</v>
      </c>
      <c r="H80" s="385">
        <f t="shared" si="12"/>
        <v>0</v>
      </c>
    </row>
    <row r="81" spans="1:12">
      <c r="A81" s="332">
        <f t="shared" si="5"/>
        <v>0</v>
      </c>
      <c r="B81" s="385">
        <f t="shared" si="6"/>
        <v>0</v>
      </c>
      <c r="C81" s="385">
        <f t="shared" si="7"/>
        <v>0</v>
      </c>
      <c r="D81" s="385">
        <f t="shared" si="8"/>
        <v>0</v>
      </c>
      <c r="E81" s="385">
        <f t="shared" si="9"/>
        <v>0</v>
      </c>
      <c r="F81" s="385">
        <f t="shared" si="10"/>
        <v>0</v>
      </c>
      <c r="G81" s="385">
        <f t="shared" si="11"/>
        <v>0</v>
      </c>
      <c r="H81" s="385">
        <f t="shared" si="12"/>
        <v>0</v>
      </c>
    </row>
    <row r="82" spans="1:12">
      <c r="A82" s="404">
        <f t="shared" si="5"/>
        <v>0</v>
      </c>
      <c r="B82" s="385">
        <f t="shared" si="6"/>
        <v>0</v>
      </c>
      <c r="C82" s="385">
        <f t="shared" si="7"/>
        <v>0</v>
      </c>
      <c r="D82" s="385">
        <f t="shared" si="8"/>
        <v>0</v>
      </c>
      <c r="E82" s="385">
        <f t="shared" si="9"/>
        <v>0</v>
      </c>
      <c r="F82" s="385">
        <f t="shared" si="10"/>
        <v>0</v>
      </c>
      <c r="G82" s="385">
        <f t="shared" si="11"/>
        <v>0</v>
      </c>
      <c r="H82" s="385">
        <f t="shared" si="12"/>
        <v>0</v>
      </c>
    </row>
    <row r="83" spans="1:12">
      <c r="A83" s="404">
        <f t="shared" si="5"/>
        <v>0</v>
      </c>
      <c r="B83" s="385">
        <f t="shared" si="6"/>
        <v>0</v>
      </c>
      <c r="C83" s="385">
        <f t="shared" si="7"/>
        <v>0</v>
      </c>
      <c r="D83" s="385">
        <f t="shared" si="8"/>
        <v>0</v>
      </c>
      <c r="E83" s="385">
        <f t="shared" si="9"/>
        <v>0</v>
      </c>
      <c r="F83" s="385">
        <f t="shared" si="10"/>
        <v>0</v>
      </c>
      <c r="G83" s="385">
        <f t="shared" si="11"/>
        <v>0</v>
      </c>
      <c r="H83" s="385">
        <f t="shared" si="12"/>
        <v>0</v>
      </c>
    </row>
    <row r="84" spans="1:12">
      <c r="A84" s="404">
        <f t="shared" si="5"/>
        <v>0</v>
      </c>
      <c r="B84" s="385">
        <f t="shared" si="6"/>
        <v>0</v>
      </c>
      <c r="C84" s="385">
        <f t="shared" ref="C84:H89" si="13">C27*$B$63</f>
        <v>0</v>
      </c>
      <c r="D84" s="385">
        <f t="shared" si="13"/>
        <v>0</v>
      </c>
      <c r="E84" s="385">
        <f t="shared" si="13"/>
        <v>0</v>
      </c>
      <c r="F84" s="385">
        <f t="shared" si="13"/>
        <v>0</v>
      </c>
      <c r="G84" s="385">
        <f t="shared" si="13"/>
        <v>0</v>
      </c>
      <c r="H84" s="385">
        <f t="shared" si="13"/>
        <v>0</v>
      </c>
    </row>
    <row r="85" spans="1:12">
      <c r="A85" s="515" t="str">
        <f t="shared" si="5"/>
        <v>Maize (Summer)</v>
      </c>
      <c r="B85" s="398">
        <f t="shared" si="6"/>
        <v>4257.8999999999996</v>
      </c>
      <c r="C85" s="398">
        <f t="shared" si="13"/>
        <v>4482</v>
      </c>
      <c r="D85" s="398">
        <f t="shared" si="13"/>
        <v>4706.1000000000004</v>
      </c>
      <c r="E85" s="398">
        <f t="shared" si="13"/>
        <v>4930.2000000000007</v>
      </c>
      <c r="F85" s="398">
        <f t="shared" si="13"/>
        <v>5154.3</v>
      </c>
      <c r="G85" s="398">
        <f t="shared" si="13"/>
        <v>5378.4000000000005</v>
      </c>
      <c r="H85" s="398">
        <f t="shared" si="13"/>
        <v>5602.5000000000009</v>
      </c>
    </row>
    <row r="86" spans="1:12">
      <c r="A86" s="515" t="str">
        <f t="shared" si="5"/>
        <v>Jawar (Summer)</v>
      </c>
      <c r="B86" s="385">
        <f t="shared" si="6"/>
        <v>3640.5044999999996</v>
      </c>
      <c r="C86" s="385">
        <f t="shared" si="13"/>
        <v>3832.1099999999997</v>
      </c>
      <c r="D86" s="385">
        <f t="shared" si="13"/>
        <v>4023.7154999999998</v>
      </c>
      <c r="E86" s="385">
        <f t="shared" si="13"/>
        <v>4215.3209999999999</v>
      </c>
      <c r="F86" s="385">
        <f t="shared" si="13"/>
        <v>4406.9265000000005</v>
      </c>
      <c r="G86" s="385">
        <f t="shared" si="13"/>
        <v>4598.5320000000011</v>
      </c>
      <c r="H86" s="385">
        <f t="shared" si="13"/>
        <v>4790.1375000000007</v>
      </c>
    </row>
    <row r="87" spans="1:12">
      <c r="A87" s="357">
        <f t="shared" si="5"/>
        <v>0</v>
      </c>
      <c r="B87" s="385">
        <f t="shared" si="6"/>
        <v>0</v>
      </c>
      <c r="C87" s="385">
        <f t="shared" si="13"/>
        <v>0</v>
      </c>
      <c r="D87" s="385">
        <f t="shared" si="13"/>
        <v>0</v>
      </c>
      <c r="E87" s="385">
        <f t="shared" si="13"/>
        <v>0</v>
      </c>
      <c r="F87" s="385">
        <f t="shared" si="13"/>
        <v>0</v>
      </c>
      <c r="G87" s="385">
        <f t="shared" si="13"/>
        <v>0</v>
      </c>
      <c r="H87" s="385">
        <f t="shared" si="13"/>
        <v>0</v>
      </c>
    </row>
    <row r="88" spans="1:12">
      <c r="A88" s="357">
        <f t="shared" si="5"/>
        <v>0</v>
      </c>
      <c r="B88" s="385">
        <f t="shared" si="6"/>
        <v>0</v>
      </c>
      <c r="C88" s="385">
        <f t="shared" si="13"/>
        <v>0</v>
      </c>
      <c r="D88" s="385">
        <f t="shared" si="13"/>
        <v>0</v>
      </c>
      <c r="E88" s="385">
        <f t="shared" si="13"/>
        <v>0</v>
      </c>
      <c r="F88" s="385">
        <f t="shared" si="13"/>
        <v>0</v>
      </c>
      <c r="G88" s="385">
        <f t="shared" si="13"/>
        <v>0</v>
      </c>
      <c r="H88" s="385">
        <f t="shared" si="13"/>
        <v>0</v>
      </c>
    </row>
    <row r="89" spans="1:12">
      <c r="A89" s="357">
        <f t="shared" si="5"/>
        <v>0</v>
      </c>
      <c r="B89" s="385">
        <f t="shared" si="6"/>
        <v>0</v>
      </c>
      <c r="C89" s="385">
        <f t="shared" si="13"/>
        <v>0</v>
      </c>
      <c r="D89" s="385">
        <f t="shared" si="13"/>
        <v>0</v>
      </c>
      <c r="E89" s="385">
        <f t="shared" si="13"/>
        <v>0</v>
      </c>
      <c r="F89" s="385">
        <f t="shared" si="13"/>
        <v>0</v>
      </c>
      <c r="G89" s="385">
        <f t="shared" si="13"/>
        <v>0</v>
      </c>
      <c r="H89" s="385">
        <f t="shared" si="13"/>
        <v>0</v>
      </c>
    </row>
    <row r="90" spans="1:12">
      <c r="A90" s="329"/>
      <c r="B90" s="385"/>
      <c r="C90" s="385"/>
      <c r="D90" s="385"/>
      <c r="E90" s="385"/>
      <c r="F90" s="385"/>
      <c r="G90" s="385"/>
      <c r="H90" s="385"/>
      <c r="J90" s="271"/>
      <c r="K90" s="271"/>
      <c r="L90" s="271"/>
    </row>
    <row r="91" spans="1:12">
      <c r="A91" s="399" t="str">
        <f t="shared" ref="A91:A109" si="14">A34</f>
        <v>Fruit  &amp; Vegetables Crop Production Details</v>
      </c>
      <c r="B91" s="385"/>
      <c r="C91" s="385"/>
      <c r="D91" s="385"/>
      <c r="E91" s="385"/>
      <c r="F91" s="385"/>
      <c r="G91" s="385"/>
      <c r="H91" s="385"/>
      <c r="J91" s="271"/>
      <c r="K91" s="271"/>
      <c r="L91" s="271"/>
    </row>
    <row r="92" spans="1:12">
      <c r="A92" s="329" t="str">
        <f t="shared" si="14"/>
        <v>Onion</v>
      </c>
      <c r="B92" s="385">
        <f t="shared" ref="B92:H101" si="15">B35</f>
        <v>0</v>
      </c>
      <c r="C92" s="385">
        <f t="shared" si="15"/>
        <v>0</v>
      </c>
      <c r="D92" s="385">
        <f t="shared" si="15"/>
        <v>0</v>
      </c>
      <c r="E92" s="385">
        <f t="shared" si="15"/>
        <v>0</v>
      </c>
      <c r="F92" s="385">
        <f t="shared" si="15"/>
        <v>0</v>
      </c>
      <c r="G92" s="385">
        <f t="shared" si="15"/>
        <v>0</v>
      </c>
      <c r="H92" s="385">
        <f t="shared" si="15"/>
        <v>0</v>
      </c>
      <c r="J92" s="271"/>
      <c r="K92" s="271"/>
      <c r="L92" s="271"/>
    </row>
    <row r="93" spans="1:12">
      <c r="A93" s="329" t="str">
        <f t="shared" si="14"/>
        <v>Tomato</v>
      </c>
      <c r="B93" s="385">
        <f t="shared" si="15"/>
        <v>0</v>
      </c>
      <c r="C93" s="385">
        <f t="shared" si="15"/>
        <v>0</v>
      </c>
      <c r="D93" s="385">
        <f t="shared" si="15"/>
        <v>0</v>
      </c>
      <c r="E93" s="385">
        <f t="shared" si="15"/>
        <v>0</v>
      </c>
      <c r="F93" s="385">
        <f t="shared" si="15"/>
        <v>0</v>
      </c>
      <c r="G93" s="385">
        <f t="shared" si="15"/>
        <v>0</v>
      </c>
      <c r="H93" s="385">
        <f t="shared" si="15"/>
        <v>0</v>
      </c>
      <c r="J93" s="271"/>
      <c r="K93" s="271"/>
      <c r="L93" s="271"/>
    </row>
    <row r="94" spans="1:12">
      <c r="A94" s="329" t="str">
        <f t="shared" si="14"/>
        <v>Okra</v>
      </c>
      <c r="B94" s="385">
        <f t="shared" si="15"/>
        <v>0</v>
      </c>
      <c r="C94" s="385">
        <f t="shared" si="15"/>
        <v>0</v>
      </c>
      <c r="D94" s="385">
        <f t="shared" si="15"/>
        <v>0</v>
      </c>
      <c r="E94" s="385">
        <f t="shared" si="15"/>
        <v>0</v>
      </c>
      <c r="F94" s="385">
        <f t="shared" si="15"/>
        <v>0</v>
      </c>
      <c r="G94" s="385">
        <f t="shared" si="15"/>
        <v>0</v>
      </c>
      <c r="H94" s="385">
        <f t="shared" si="15"/>
        <v>0</v>
      </c>
      <c r="J94" s="271"/>
      <c r="K94" s="271"/>
      <c r="L94" s="271"/>
    </row>
    <row r="95" spans="1:12">
      <c r="A95" s="329" t="str">
        <f t="shared" si="14"/>
        <v>Chilli</v>
      </c>
      <c r="B95" s="385">
        <f t="shared" si="15"/>
        <v>0</v>
      </c>
      <c r="C95" s="385">
        <f t="shared" si="15"/>
        <v>0</v>
      </c>
      <c r="D95" s="385">
        <f t="shared" si="15"/>
        <v>0</v>
      </c>
      <c r="E95" s="385">
        <f t="shared" si="15"/>
        <v>0</v>
      </c>
      <c r="F95" s="385">
        <f t="shared" si="15"/>
        <v>0</v>
      </c>
      <c r="G95" s="385">
        <f t="shared" si="15"/>
        <v>0</v>
      </c>
      <c r="H95" s="385">
        <f t="shared" si="15"/>
        <v>0</v>
      </c>
      <c r="J95" s="271"/>
      <c r="K95" s="271"/>
      <c r="L95" s="271"/>
    </row>
    <row r="96" spans="1:12">
      <c r="A96" s="329" t="str">
        <f t="shared" si="14"/>
        <v>Potato</v>
      </c>
      <c r="B96" s="385">
        <f t="shared" si="15"/>
        <v>0</v>
      </c>
      <c r="C96" s="385">
        <f t="shared" si="15"/>
        <v>0</v>
      </c>
      <c r="D96" s="385">
        <f t="shared" si="15"/>
        <v>0</v>
      </c>
      <c r="E96" s="385">
        <f t="shared" si="15"/>
        <v>0</v>
      </c>
      <c r="F96" s="385">
        <f t="shared" si="15"/>
        <v>0</v>
      </c>
      <c r="G96" s="385">
        <f t="shared" si="15"/>
        <v>0</v>
      </c>
      <c r="H96" s="385">
        <f t="shared" si="15"/>
        <v>0</v>
      </c>
      <c r="J96" s="271"/>
      <c r="K96" s="271"/>
      <c r="L96" s="271"/>
    </row>
    <row r="97" spans="1:12">
      <c r="A97" s="357">
        <f t="shared" si="14"/>
        <v>0</v>
      </c>
      <c r="B97" s="385">
        <f t="shared" si="15"/>
        <v>0</v>
      </c>
      <c r="C97" s="385">
        <f t="shared" si="15"/>
        <v>0</v>
      </c>
      <c r="D97" s="385">
        <f t="shared" si="15"/>
        <v>0</v>
      </c>
      <c r="E97" s="385">
        <f t="shared" si="15"/>
        <v>0</v>
      </c>
      <c r="F97" s="385">
        <f t="shared" si="15"/>
        <v>0</v>
      </c>
      <c r="G97" s="385">
        <f t="shared" si="15"/>
        <v>0</v>
      </c>
      <c r="H97" s="385">
        <f t="shared" si="15"/>
        <v>0</v>
      </c>
      <c r="J97" s="271"/>
      <c r="K97" s="271"/>
      <c r="L97" s="271"/>
    </row>
    <row r="98" spans="1:12">
      <c r="A98" s="357">
        <f t="shared" si="14"/>
        <v>0</v>
      </c>
      <c r="B98" s="385">
        <f t="shared" si="15"/>
        <v>0</v>
      </c>
      <c r="C98" s="385">
        <f t="shared" si="15"/>
        <v>0</v>
      </c>
      <c r="D98" s="385">
        <f t="shared" si="15"/>
        <v>0</v>
      </c>
      <c r="E98" s="385">
        <f t="shared" si="15"/>
        <v>0</v>
      </c>
      <c r="F98" s="385">
        <f t="shared" si="15"/>
        <v>0</v>
      </c>
      <c r="G98" s="385">
        <f t="shared" si="15"/>
        <v>0</v>
      </c>
      <c r="H98" s="385">
        <f t="shared" si="15"/>
        <v>0</v>
      </c>
      <c r="J98" s="271"/>
      <c r="K98" s="271"/>
      <c r="L98" s="271"/>
    </row>
    <row r="99" spans="1:12">
      <c r="A99" s="357">
        <f t="shared" si="14"/>
        <v>0</v>
      </c>
      <c r="B99" s="385">
        <f t="shared" si="15"/>
        <v>0</v>
      </c>
      <c r="C99" s="385">
        <f t="shared" si="15"/>
        <v>0</v>
      </c>
      <c r="D99" s="385">
        <f t="shared" si="15"/>
        <v>0</v>
      </c>
      <c r="E99" s="385">
        <f t="shared" si="15"/>
        <v>0</v>
      </c>
      <c r="F99" s="385">
        <f t="shared" si="15"/>
        <v>0</v>
      </c>
      <c r="G99" s="385">
        <f t="shared" si="15"/>
        <v>0</v>
      </c>
      <c r="H99" s="385">
        <f t="shared" si="15"/>
        <v>0</v>
      </c>
      <c r="J99" s="271"/>
      <c r="K99" s="271"/>
      <c r="L99" s="271"/>
    </row>
    <row r="100" spans="1:12">
      <c r="A100" s="357">
        <f t="shared" si="14"/>
        <v>0</v>
      </c>
      <c r="B100" s="385">
        <f t="shared" si="15"/>
        <v>0</v>
      </c>
      <c r="C100" s="385">
        <f t="shared" si="15"/>
        <v>0</v>
      </c>
      <c r="D100" s="385">
        <f t="shared" si="15"/>
        <v>0</v>
      </c>
      <c r="E100" s="385">
        <f t="shared" si="15"/>
        <v>0</v>
      </c>
      <c r="F100" s="385">
        <f t="shared" si="15"/>
        <v>0</v>
      </c>
      <c r="G100" s="385">
        <f t="shared" si="15"/>
        <v>0</v>
      </c>
      <c r="H100" s="385">
        <f t="shared" si="15"/>
        <v>0</v>
      </c>
      <c r="J100" s="271"/>
      <c r="K100" s="271"/>
      <c r="L100" s="271"/>
    </row>
    <row r="101" spans="1:12">
      <c r="A101" s="329" t="str">
        <f t="shared" si="14"/>
        <v>Onion</v>
      </c>
      <c r="B101" s="385">
        <f t="shared" si="15"/>
        <v>0</v>
      </c>
      <c r="C101" s="385">
        <f t="shared" si="15"/>
        <v>0</v>
      </c>
      <c r="D101" s="385">
        <f t="shared" si="15"/>
        <v>0</v>
      </c>
      <c r="E101" s="385">
        <f t="shared" si="15"/>
        <v>0</v>
      </c>
      <c r="F101" s="385">
        <f t="shared" si="15"/>
        <v>0</v>
      </c>
      <c r="G101" s="385">
        <f t="shared" si="15"/>
        <v>0</v>
      </c>
      <c r="H101" s="385">
        <f t="shared" si="15"/>
        <v>0</v>
      </c>
      <c r="J101" s="271"/>
      <c r="K101" s="271"/>
      <c r="L101" s="271"/>
    </row>
    <row r="102" spans="1:12">
      <c r="A102" s="329" t="str">
        <f t="shared" si="14"/>
        <v>Tomato</v>
      </c>
      <c r="B102" s="385">
        <f t="shared" ref="B102:H109" si="16">B45</f>
        <v>0</v>
      </c>
      <c r="C102" s="385">
        <f t="shared" si="16"/>
        <v>0</v>
      </c>
      <c r="D102" s="385">
        <f t="shared" si="16"/>
        <v>0</v>
      </c>
      <c r="E102" s="385">
        <f t="shared" si="16"/>
        <v>0</v>
      </c>
      <c r="F102" s="385">
        <f t="shared" si="16"/>
        <v>0</v>
      </c>
      <c r="G102" s="385">
        <f t="shared" si="16"/>
        <v>0</v>
      </c>
      <c r="H102" s="385">
        <f t="shared" si="16"/>
        <v>0</v>
      </c>
      <c r="J102" s="271"/>
      <c r="K102" s="271"/>
      <c r="L102" s="271"/>
    </row>
    <row r="103" spans="1:12">
      <c r="A103" s="329" t="str">
        <f t="shared" si="14"/>
        <v>Okra</v>
      </c>
      <c r="B103" s="385">
        <f t="shared" si="16"/>
        <v>0</v>
      </c>
      <c r="C103" s="385">
        <f t="shared" si="16"/>
        <v>0</v>
      </c>
      <c r="D103" s="385">
        <f t="shared" si="16"/>
        <v>0</v>
      </c>
      <c r="E103" s="385">
        <f t="shared" si="16"/>
        <v>0</v>
      </c>
      <c r="F103" s="385">
        <f t="shared" si="16"/>
        <v>0</v>
      </c>
      <c r="G103" s="385">
        <f t="shared" si="16"/>
        <v>0</v>
      </c>
      <c r="H103" s="385">
        <f t="shared" si="16"/>
        <v>0</v>
      </c>
      <c r="J103" s="271"/>
      <c r="K103" s="271"/>
      <c r="L103" s="271"/>
    </row>
    <row r="104" spans="1:12">
      <c r="A104" s="329" t="str">
        <f t="shared" si="14"/>
        <v>Chilli</v>
      </c>
      <c r="B104" s="385">
        <f t="shared" si="16"/>
        <v>0</v>
      </c>
      <c r="C104" s="385">
        <f t="shared" si="16"/>
        <v>0</v>
      </c>
      <c r="D104" s="385">
        <f t="shared" si="16"/>
        <v>0</v>
      </c>
      <c r="E104" s="385">
        <f t="shared" si="16"/>
        <v>0</v>
      </c>
      <c r="F104" s="385">
        <f t="shared" si="16"/>
        <v>0</v>
      </c>
      <c r="G104" s="385">
        <f t="shared" si="16"/>
        <v>0</v>
      </c>
      <c r="H104" s="385">
        <f t="shared" si="16"/>
        <v>0</v>
      </c>
      <c r="J104" s="271"/>
      <c r="K104" s="271"/>
      <c r="L104" s="271"/>
    </row>
    <row r="105" spans="1:12">
      <c r="A105" s="329" t="str">
        <f t="shared" si="14"/>
        <v>Brinjal</v>
      </c>
      <c r="B105" s="385">
        <f t="shared" si="16"/>
        <v>0</v>
      </c>
      <c r="C105" s="385">
        <f t="shared" si="16"/>
        <v>0</v>
      </c>
      <c r="D105" s="385">
        <f t="shared" si="16"/>
        <v>0</v>
      </c>
      <c r="E105" s="385">
        <f t="shared" si="16"/>
        <v>0</v>
      </c>
      <c r="F105" s="385">
        <f t="shared" si="16"/>
        <v>0</v>
      </c>
      <c r="G105" s="385">
        <f t="shared" si="16"/>
        <v>0</v>
      </c>
      <c r="H105" s="385">
        <f t="shared" si="16"/>
        <v>0</v>
      </c>
      <c r="J105" s="271"/>
      <c r="K105" s="271"/>
      <c r="L105" s="271"/>
    </row>
    <row r="106" spans="1:12">
      <c r="A106" s="357">
        <f t="shared" si="14"/>
        <v>0</v>
      </c>
      <c r="B106" s="385">
        <f t="shared" si="16"/>
        <v>0</v>
      </c>
      <c r="C106" s="385">
        <f t="shared" si="16"/>
        <v>0</v>
      </c>
      <c r="D106" s="385">
        <f t="shared" si="16"/>
        <v>0</v>
      </c>
      <c r="E106" s="385">
        <f t="shared" si="16"/>
        <v>0</v>
      </c>
      <c r="F106" s="385">
        <f t="shared" si="16"/>
        <v>0</v>
      </c>
      <c r="G106" s="385">
        <f t="shared" si="16"/>
        <v>0</v>
      </c>
      <c r="H106" s="385">
        <f t="shared" si="16"/>
        <v>0</v>
      </c>
      <c r="J106" s="271"/>
      <c r="K106" s="271"/>
      <c r="L106" s="271"/>
    </row>
    <row r="107" spans="1:12">
      <c r="A107" s="357">
        <f t="shared" si="14"/>
        <v>0</v>
      </c>
      <c r="B107" s="385">
        <f t="shared" si="16"/>
        <v>0</v>
      </c>
      <c r="C107" s="385">
        <f t="shared" si="16"/>
        <v>0</v>
      </c>
      <c r="D107" s="385">
        <f t="shared" si="16"/>
        <v>0</v>
      </c>
      <c r="E107" s="385">
        <f t="shared" si="16"/>
        <v>0</v>
      </c>
      <c r="F107" s="385">
        <f t="shared" si="16"/>
        <v>0</v>
      </c>
      <c r="G107" s="385">
        <f t="shared" si="16"/>
        <v>0</v>
      </c>
      <c r="H107" s="385">
        <f t="shared" si="16"/>
        <v>0</v>
      </c>
      <c r="J107" s="271"/>
      <c r="K107" s="271"/>
      <c r="L107" s="271"/>
    </row>
    <row r="108" spans="1:12">
      <c r="A108" s="357">
        <f t="shared" si="14"/>
        <v>0</v>
      </c>
      <c r="B108" s="385">
        <f t="shared" si="16"/>
        <v>0</v>
      </c>
      <c r="C108" s="385">
        <f t="shared" si="16"/>
        <v>0</v>
      </c>
      <c r="D108" s="385">
        <f t="shared" si="16"/>
        <v>0</v>
      </c>
      <c r="E108" s="385">
        <f t="shared" si="16"/>
        <v>0</v>
      </c>
      <c r="F108" s="385">
        <f t="shared" si="16"/>
        <v>0</v>
      </c>
      <c r="G108" s="385">
        <f t="shared" si="16"/>
        <v>0</v>
      </c>
      <c r="H108" s="385">
        <f t="shared" si="16"/>
        <v>0</v>
      </c>
      <c r="J108" s="271"/>
      <c r="K108" s="271"/>
      <c r="L108" s="271"/>
    </row>
    <row r="109" spans="1:12">
      <c r="A109" s="357">
        <f t="shared" si="14"/>
        <v>0</v>
      </c>
      <c r="B109" s="385">
        <f t="shared" si="16"/>
        <v>0</v>
      </c>
      <c r="C109" s="385">
        <f t="shared" si="16"/>
        <v>0</v>
      </c>
      <c r="D109" s="385">
        <f t="shared" si="16"/>
        <v>0</v>
      </c>
      <c r="E109" s="385">
        <f t="shared" si="16"/>
        <v>0</v>
      </c>
      <c r="F109" s="385">
        <f t="shared" si="16"/>
        <v>0</v>
      </c>
      <c r="G109" s="385">
        <f t="shared" si="16"/>
        <v>0</v>
      </c>
      <c r="H109" s="385">
        <f t="shared" si="16"/>
        <v>0</v>
      </c>
      <c r="J109" s="271"/>
      <c r="K109" s="271"/>
      <c r="L109" s="271"/>
    </row>
    <row r="110" spans="1:12">
      <c r="A110" s="357">
        <f t="shared" ref="A110:A113" si="17">A53</f>
        <v>0</v>
      </c>
      <c r="B110" s="385"/>
      <c r="C110" s="385"/>
      <c r="D110" s="385"/>
      <c r="E110" s="385"/>
      <c r="F110" s="385"/>
      <c r="G110" s="385"/>
      <c r="H110" s="385"/>
      <c r="J110" s="271"/>
      <c r="K110" s="271"/>
      <c r="L110" s="271"/>
    </row>
    <row r="111" spans="1:12">
      <c r="A111" s="357">
        <f t="shared" si="17"/>
        <v>0</v>
      </c>
      <c r="B111" s="385"/>
      <c r="C111" s="385"/>
      <c r="D111" s="385"/>
      <c r="E111" s="385"/>
      <c r="F111" s="385"/>
      <c r="G111" s="385"/>
      <c r="H111" s="385"/>
      <c r="J111" s="271"/>
      <c r="K111" s="271"/>
      <c r="L111" s="271"/>
    </row>
    <row r="112" spans="1:12">
      <c r="A112" s="357">
        <f t="shared" si="17"/>
        <v>0</v>
      </c>
      <c r="B112" s="385"/>
      <c r="C112" s="385"/>
      <c r="D112" s="385"/>
      <c r="E112" s="385"/>
      <c r="F112" s="385"/>
      <c r="G112" s="385"/>
      <c r="H112" s="385"/>
      <c r="J112" s="271"/>
      <c r="K112" s="271"/>
      <c r="L112" s="271"/>
    </row>
    <row r="113" spans="1:12">
      <c r="A113" s="329" t="str">
        <f t="shared" si="17"/>
        <v>Pomegranate</v>
      </c>
      <c r="B113" s="385">
        <f t="shared" ref="B113:H116" si="18">B56</f>
        <v>0</v>
      </c>
      <c r="C113" s="385">
        <f t="shared" si="18"/>
        <v>0</v>
      </c>
      <c r="D113" s="385">
        <f t="shared" si="18"/>
        <v>0</v>
      </c>
      <c r="E113" s="385">
        <f t="shared" si="18"/>
        <v>0</v>
      </c>
      <c r="F113" s="385">
        <f t="shared" si="18"/>
        <v>0</v>
      </c>
      <c r="G113" s="385">
        <f t="shared" si="18"/>
        <v>0</v>
      </c>
      <c r="H113" s="385">
        <f t="shared" si="18"/>
        <v>0</v>
      </c>
      <c r="J113" s="271"/>
      <c r="K113" s="271"/>
      <c r="L113" s="271"/>
    </row>
    <row r="114" spans="1:12">
      <c r="A114" s="329" t="str">
        <f>A57</f>
        <v>Custard Apple</v>
      </c>
      <c r="B114" s="385">
        <f t="shared" si="18"/>
        <v>0</v>
      </c>
      <c r="C114" s="385">
        <f t="shared" si="18"/>
        <v>0</v>
      </c>
      <c r="D114" s="385">
        <f t="shared" si="18"/>
        <v>0</v>
      </c>
      <c r="E114" s="385">
        <f t="shared" si="18"/>
        <v>0</v>
      </c>
      <c r="F114" s="385">
        <f t="shared" si="18"/>
        <v>0</v>
      </c>
      <c r="G114" s="385">
        <f t="shared" si="18"/>
        <v>0</v>
      </c>
      <c r="H114" s="385">
        <f t="shared" si="18"/>
        <v>0</v>
      </c>
      <c r="J114" s="271"/>
      <c r="K114" s="271"/>
      <c r="L114" s="271"/>
    </row>
    <row r="115" spans="1:12">
      <c r="A115" s="329" t="str">
        <f>A58</f>
        <v>Guava</v>
      </c>
      <c r="B115" s="385">
        <f t="shared" si="18"/>
        <v>0</v>
      </c>
      <c r="C115" s="385">
        <f t="shared" si="18"/>
        <v>0</v>
      </c>
      <c r="D115" s="385">
        <f t="shared" si="18"/>
        <v>0</v>
      </c>
      <c r="E115" s="385">
        <f t="shared" si="18"/>
        <v>0</v>
      </c>
      <c r="F115" s="385">
        <f t="shared" si="18"/>
        <v>0</v>
      </c>
      <c r="G115" s="385">
        <f t="shared" si="18"/>
        <v>0</v>
      </c>
      <c r="H115" s="385">
        <f t="shared" si="18"/>
        <v>0</v>
      </c>
      <c r="J115" s="271"/>
      <c r="K115" s="271"/>
      <c r="L115" s="271"/>
    </row>
    <row r="116" spans="1:12">
      <c r="A116" s="329" t="str">
        <f>A59</f>
        <v>Citrus</v>
      </c>
      <c r="B116" s="385">
        <f t="shared" si="18"/>
        <v>0</v>
      </c>
      <c r="C116" s="385">
        <f t="shared" si="18"/>
        <v>0</v>
      </c>
      <c r="D116" s="385">
        <f t="shared" si="18"/>
        <v>0</v>
      </c>
      <c r="E116" s="385">
        <f t="shared" si="18"/>
        <v>0</v>
      </c>
      <c r="F116" s="385">
        <f t="shared" si="18"/>
        <v>0</v>
      </c>
      <c r="G116" s="385">
        <f t="shared" si="18"/>
        <v>0</v>
      </c>
      <c r="H116" s="385">
        <f t="shared" si="18"/>
        <v>0</v>
      </c>
      <c r="J116" s="271"/>
      <c r="K116" s="271"/>
      <c r="L116" s="271"/>
    </row>
    <row r="117" spans="1:12">
      <c r="A117" s="329"/>
      <c r="B117" s="385"/>
      <c r="C117" s="385"/>
      <c r="D117" s="385"/>
      <c r="E117" s="385"/>
      <c r="F117" s="385"/>
      <c r="G117" s="385"/>
      <c r="H117" s="385"/>
      <c r="J117" s="271"/>
      <c r="K117" s="271"/>
      <c r="L117" s="271"/>
    </row>
    <row r="118" spans="1:12">
      <c r="A118" s="329"/>
      <c r="B118" s="385"/>
      <c r="C118" s="385"/>
      <c r="D118" s="385"/>
      <c r="E118" s="385"/>
      <c r="F118" s="385"/>
      <c r="G118" s="385"/>
      <c r="H118" s="385"/>
      <c r="J118" s="271"/>
      <c r="K118" s="271"/>
      <c r="L118" s="271"/>
    </row>
    <row r="119" spans="1:12">
      <c r="A119" s="400" t="s">
        <v>140</v>
      </c>
      <c r="B119" s="329"/>
      <c r="C119" s="329"/>
      <c r="D119" s="329"/>
      <c r="E119" s="329"/>
      <c r="F119" s="329"/>
      <c r="G119" s="329"/>
      <c r="H119" s="329"/>
    </row>
    <row r="120" spans="1:12">
      <c r="A120" s="361" t="str">
        <f t="shared" ref="A120:A141" si="19">A68</f>
        <v>Maize (Kharif)</v>
      </c>
      <c r="B120" s="401">
        <f t="shared" ref="B120:H129" si="20">B68-(B68*$G$6)</f>
        <v>6883.6049999999996</v>
      </c>
      <c r="C120" s="401">
        <f t="shared" si="20"/>
        <v>7245.9</v>
      </c>
      <c r="D120" s="401">
        <f t="shared" si="20"/>
        <v>7608.1949999999997</v>
      </c>
      <c r="E120" s="401">
        <f t="shared" si="20"/>
        <v>7970.49</v>
      </c>
      <c r="F120" s="401">
        <f t="shared" si="20"/>
        <v>8332.7849999999999</v>
      </c>
      <c r="G120" s="401">
        <f t="shared" si="20"/>
        <v>8695.08</v>
      </c>
      <c r="H120" s="401">
        <f t="shared" si="20"/>
        <v>9057.375</v>
      </c>
    </row>
    <row r="121" spans="1:12">
      <c r="A121" s="280" t="str">
        <f t="shared" si="19"/>
        <v>Red Gram/Tur</v>
      </c>
      <c r="B121" s="401">
        <f t="shared" si="20"/>
        <v>0</v>
      </c>
      <c r="C121" s="401">
        <f t="shared" si="20"/>
        <v>0</v>
      </c>
      <c r="D121" s="401">
        <f t="shared" si="20"/>
        <v>0</v>
      </c>
      <c r="E121" s="401">
        <f t="shared" si="20"/>
        <v>0</v>
      </c>
      <c r="F121" s="401">
        <f t="shared" si="20"/>
        <v>0</v>
      </c>
      <c r="G121" s="401">
        <f t="shared" si="20"/>
        <v>0</v>
      </c>
      <c r="H121" s="401">
        <f t="shared" si="20"/>
        <v>0</v>
      </c>
    </row>
    <row r="122" spans="1:12">
      <c r="A122" s="280" t="str">
        <f t="shared" si="19"/>
        <v>Paddy/Rice</v>
      </c>
      <c r="B122" s="401">
        <f t="shared" si="20"/>
        <v>0</v>
      </c>
      <c r="C122" s="401">
        <f t="shared" si="20"/>
        <v>0</v>
      </c>
      <c r="D122" s="401">
        <f t="shared" si="20"/>
        <v>0</v>
      </c>
      <c r="E122" s="401">
        <f t="shared" si="20"/>
        <v>0</v>
      </c>
      <c r="F122" s="401">
        <f t="shared" si="20"/>
        <v>0</v>
      </c>
      <c r="G122" s="401">
        <f t="shared" si="20"/>
        <v>0</v>
      </c>
      <c r="H122" s="401">
        <f t="shared" si="20"/>
        <v>0</v>
      </c>
    </row>
    <row r="123" spans="1:12">
      <c r="A123" s="280" t="str">
        <f t="shared" si="19"/>
        <v>Green Gram/ Moong</v>
      </c>
      <c r="B123" s="401">
        <f t="shared" si="20"/>
        <v>0</v>
      </c>
      <c r="C123" s="401">
        <f t="shared" si="20"/>
        <v>0</v>
      </c>
      <c r="D123" s="401">
        <f t="shared" si="20"/>
        <v>0</v>
      </c>
      <c r="E123" s="401">
        <f t="shared" si="20"/>
        <v>0</v>
      </c>
      <c r="F123" s="401">
        <f t="shared" si="20"/>
        <v>0</v>
      </c>
      <c r="G123" s="401">
        <f t="shared" si="20"/>
        <v>0</v>
      </c>
      <c r="H123" s="401">
        <f t="shared" si="20"/>
        <v>0</v>
      </c>
    </row>
    <row r="124" spans="1:12">
      <c r="A124" s="280" t="str">
        <f t="shared" si="19"/>
        <v>Soyabean</v>
      </c>
      <c r="B124" s="401">
        <f t="shared" si="20"/>
        <v>0</v>
      </c>
      <c r="C124" s="401">
        <f t="shared" si="20"/>
        <v>0</v>
      </c>
      <c r="D124" s="401">
        <f t="shared" si="20"/>
        <v>0</v>
      </c>
      <c r="E124" s="401">
        <f t="shared" si="20"/>
        <v>0</v>
      </c>
      <c r="F124" s="401">
        <f t="shared" si="20"/>
        <v>0</v>
      </c>
      <c r="G124" s="401">
        <f t="shared" si="20"/>
        <v>0</v>
      </c>
      <c r="H124" s="401">
        <f t="shared" si="20"/>
        <v>0</v>
      </c>
    </row>
    <row r="125" spans="1:12">
      <c r="A125" s="280" t="str">
        <f t="shared" si="19"/>
        <v>Black Gram/Udid</v>
      </c>
      <c r="B125" s="401">
        <f t="shared" si="20"/>
        <v>0</v>
      </c>
      <c r="C125" s="401">
        <f t="shared" si="20"/>
        <v>0</v>
      </c>
      <c r="D125" s="401">
        <f t="shared" si="20"/>
        <v>0</v>
      </c>
      <c r="E125" s="401">
        <f t="shared" si="20"/>
        <v>0</v>
      </c>
      <c r="F125" s="401">
        <f t="shared" si="20"/>
        <v>0</v>
      </c>
      <c r="G125" s="401">
        <f t="shared" si="20"/>
        <v>0</v>
      </c>
      <c r="H125" s="401">
        <f t="shared" si="20"/>
        <v>0</v>
      </c>
    </row>
    <row r="126" spans="1:12">
      <c r="A126" s="298" t="str">
        <f t="shared" si="19"/>
        <v>Bajra (Kharif)</v>
      </c>
      <c r="B126" s="401">
        <f t="shared" si="20"/>
        <v>2065.0814999999998</v>
      </c>
      <c r="C126" s="401">
        <f t="shared" si="20"/>
        <v>2173.77</v>
      </c>
      <c r="D126" s="401">
        <f t="shared" si="20"/>
        <v>2282.4585000000002</v>
      </c>
      <c r="E126" s="401">
        <f t="shared" si="20"/>
        <v>2391.1470000000004</v>
      </c>
      <c r="F126" s="401">
        <f t="shared" si="20"/>
        <v>2499.8355000000001</v>
      </c>
      <c r="G126" s="401">
        <f t="shared" si="20"/>
        <v>2608.5240000000003</v>
      </c>
      <c r="H126" s="401">
        <f t="shared" si="20"/>
        <v>2717.2125000000005</v>
      </c>
    </row>
    <row r="127" spans="1:12">
      <c r="A127" s="280" t="str">
        <f t="shared" si="19"/>
        <v>Jawar</v>
      </c>
      <c r="B127" s="401">
        <f t="shared" si="20"/>
        <v>0</v>
      </c>
      <c r="C127" s="401">
        <f t="shared" si="20"/>
        <v>0</v>
      </c>
      <c r="D127" s="401">
        <f t="shared" si="20"/>
        <v>0</v>
      </c>
      <c r="E127" s="401">
        <f t="shared" si="20"/>
        <v>0</v>
      </c>
      <c r="F127" s="401">
        <f t="shared" si="20"/>
        <v>0</v>
      </c>
      <c r="G127" s="401">
        <f t="shared" si="20"/>
        <v>0</v>
      </c>
      <c r="H127" s="401">
        <f t="shared" si="20"/>
        <v>0</v>
      </c>
    </row>
    <row r="128" spans="1:12">
      <c r="A128" s="280" t="str">
        <f t="shared" si="19"/>
        <v>Sunflower</v>
      </c>
      <c r="B128" s="401">
        <f t="shared" si="20"/>
        <v>0</v>
      </c>
      <c r="C128" s="401">
        <f t="shared" si="20"/>
        <v>0</v>
      </c>
      <c r="D128" s="401">
        <f t="shared" si="20"/>
        <v>0</v>
      </c>
      <c r="E128" s="401">
        <f t="shared" si="20"/>
        <v>0</v>
      </c>
      <c r="F128" s="401">
        <f t="shared" si="20"/>
        <v>0</v>
      </c>
      <c r="G128" s="401">
        <f t="shared" si="20"/>
        <v>0</v>
      </c>
      <c r="H128" s="401">
        <f t="shared" si="20"/>
        <v>0</v>
      </c>
    </row>
    <row r="129" spans="1:8">
      <c r="A129" s="514" t="str">
        <f t="shared" si="19"/>
        <v>Maize (Rabbi)</v>
      </c>
      <c r="B129" s="401">
        <f t="shared" si="20"/>
        <v>4818.5234999999993</v>
      </c>
      <c r="C129" s="401">
        <f t="shared" si="20"/>
        <v>5072.1299999999992</v>
      </c>
      <c r="D129" s="401">
        <f t="shared" si="20"/>
        <v>5325.7364999999991</v>
      </c>
      <c r="E129" s="401">
        <f t="shared" si="20"/>
        <v>5579.3429999999998</v>
      </c>
      <c r="F129" s="401">
        <f t="shared" si="20"/>
        <v>5832.9494999999997</v>
      </c>
      <c r="G129" s="401">
        <f t="shared" si="20"/>
        <v>6086.5560000000005</v>
      </c>
      <c r="H129" s="401">
        <f t="shared" si="20"/>
        <v>6340.1625000000004</v>
      </c>
    </row>
    <row r="130" spans="1:8">
      <c r="A130" s="516" t="str">
        <f t="shared" si="19"/>
        <v>Gram (Rabbi)</v>
      </c>
      <c r="B130" s="401">
        <f t="shared" ref="B130:H139" si="21">B78-(B78*$G$6)</f>
        <v>1652.0651999999998</v>
      </c>
      <c r="C130" s="401">
        <f t="shared" si="21"/>
        <v>1739.0159999999998</v>
      </c>
      <c r="D130" s="401">
        <f t="shared" si="21"/>
        <v>1825.9668000000001</v>
      </c>
      <c r="E130" s="401">
        <f t="shared" si="21"/>
        <v>1912.9176000000002</v>
      </c>
      <c r="F130" s="401">
        <f t="shared" si="21"/>
        <v>1999.8684000000003</v>
      </c>
      <c r="G130" s="401">
        <f t="shared" si="21"/>
        <v>2086.8191999999999</v>
      </c>
      <c r="H130" s="401">
        <f t="shared" si="21"/>
        <v>2173.77</v>
      </c>
    </row>
    <row r="131" spans="1:8">
      <c r="A131" s="516" t="str">
        <f t="shared" si="19"/>
        <v>Wheat (Rabbi)</v>
      </c>
      <c r="B131" s="401">
        <f t="shared" si="21"/>
        <v>3304.1303999999996</v>
      </c>
      <c r="C131" s="401">
        <f t="shared" si="21"/>
        <v>3478.0319999999997</v>
      </c>
      <c r="D131" s="401">
        <f t="shared" si="21"/>
        <v>3651.9336000000003</v>
      </c>
      <c r="E131" s="401">
        <f t="shared" si="21"/>
        <v>3825.8352000000004</v>
      </c>
      <c r="F131" s="401">
        <f t="shared" si="21"/>
        <v>3999.7368000000006</v>
      </c>
      <c r="G131" s="401">
        <f t="shared" si="21"/>
        <v>4173.6383999999998</v>
      </c>
      <c r="H131" s="401">
        <f t="shared" si="21"/>
        <v>4347.54</v>
      </c>
    </row>
    <row r="132" spans="1:8">
      <c r="A132" s="280">
        <f t="shared" si="19"/>
        <v>0</v>
      </c>
      <c r="B132" s="401">
        <f t="shared" si="21"/>
        <v>0</v>
      </c>
      <c r="C132" s="401">
        <f t="shared" si="21"/>
        <v>0</v>
      </c>
      <c r="D132" s="401">
        <f t="shared" si="21"/>
        <v>0</v>
      </c>
      <c r="E132" s="401">
        <f t="shared" si="21"/>
        <v>0</v>
      </c>
      <c r="F132" s="401">
        <f t="shared" si="21"/>
        <v>0</v>
      </c>
      <c r="G132" s="401">
        <f t="shared" si="21"/>
        <v>0</v>
      </c>
      <c r="H132" s="401">
        <f t="shared" si="21"/>
        <v>0</v>
      </c>
    </row>
    <row r="133" spans="1:8">
      <c r="A133" s="280">
        <f t="shared" si="19"/>
        <v>0</v>
      </c>
      <c r="B133" s="401">
        <f t="shared" si="21"/>
        <v>0</v>
      </c>
      <c r="C133" s="401">
        <f t="shared" si="21"/>
        <v>0</v>
      </c>
      <c r="D133" s="401">
        <f t="shared" si="21"/>
        <v>0</v>
      </c>
      <c r="E133" s="401">
        <f t="shared" si="21"/>
        <v>0</v>
      </c>
      <c r="F133" s="401">
        <f t="shared" si="21"/>
        <v>0</v>
      </c>
      <c r="G133" s="401">
        <f t="shared" si="21"/>
        <v>0</v>
      </c>
      <c r="H133" s="401">
        <f t="shared" si="21"/>
        <v>0</v>
      </c>
    </row>
    <row r="134" spans="1:8">
      <c r="A134" s="373">
        <f t="shared" si="19"/>
        <v>0</v>
      </c>
      <c r="B134" s="401">
        <f t="shared" si="21"/>
        <v>0</v>
      </c>
      <c r="C134" s="401">
        <f t="shared" si="21"/>
        <v>0</v>
      </c>
      <c r="D134" s="401">
        <f t="shared" si="21"/>
        <v>0</v>
      </c>
      <c r="E134" s="401">
        <f t="shared" si="21"/>
        <v>0</v>
      </c>
      <c r="F134" s="401">
        <f t="shared" si="21"/>
        <v>0</v>
      </c>
      <c r="G134" s="401">
        <f t="shared" si="21"/>
        <v>0</v>
      </c>
      <c r="H134" s="401">
        <f t="shared" si="21"/>
        <v>0</v>
      </c>
    </row>
    <row r="135" spans="1:8">
      <c r="A135" s="373">
        <f t="shared" si="19"/>
        <v>0</v>
      </c>
      <c r="B135" s="401">
        <f t="shared" si="21"/>
        <v>0</v>
      </c>
      <c r="C135" s="401">
        <f t="shared" si="21"/>
        <v>0</v>
      </c>
      <c r="D135" s="401">
        <f t="shared" si="21"/>
        <v>0</v>
      </c>
      <c r="E135" s="401">
        <f t="shared" si="21"/>
        <v>0</v>
      </c>
      <c r="F135" s="401">
        <f t="shared" si="21"/>
        <v>0</v>
      </c>
      <c r="G135" s="401">
        <f t="shared" si="21"/>
        <v>0</v>
      </c>
      <c r="H135" s="401">
        <f t="shared" si="21"/>
        <v>0</v>
      </c>
    </row>
    <row r="136" spans="1:8">
      <c r="A136" s="373">
        <f t="shared" si="19"/>
        <v>0</v>
      </c>
      <c r="B136" s="401">
        <f t="shared" si="21"/>
        <v>0</v>
      </c>
      <c r="C136" s="401">
        <f t="shared" si="21"/>
        <v>0</v>
      </c>
      <c r="D136" s="401">
        <f t="shared" si="21"/>
        <v>0</v>
      </c>
      <c r="E136" s="401">
        <f t="shared" si="21"/>
        <v>0</v>
      </c>
      <c r="F136" s="401">
        <f t="shared" si="21"/>
        <v>0</v>
      </c>
      <c r="G136" s="401">
        <f t="shared" si="21"/>
        <v>0</v>
      </c>
      <c r="H136" s="401">
        <f t="shared" si="21"/>
        <v>0</v>
      </c>
    </row>
    <row r="137" spans="1:8">
      <c r="A137" s="515" t="str">
        <f t="shared" si="19"/>
        <v>Maize (Summer)</v>
      </c>
      <c r="B137" s="401">
        <f t="shared" si="21"/>
        <v>4130.1629999999996</v>
      </c>
      <c r="C137" s="401">
        <f t="shared" si="21"/>
        <v>4347.54</v>
      </c>
      <c r="D137" s="401">
        <f t="shared" si="21"/>
        <v>4564.9170000000004</v>
      </c>
      <c r="E137" s="401">
        <f t="shared" si="21"/>
        <v>4782.2940000000008</v>
      </c>
      <c r="F137" s="401">
        <f t="shared" si="21"/>
        <v>4999.6710000000003</v>
      </c>
      <c r="G137" s="401">
        <f t="shared" si="21"/>
        <v>5217.0480000000007</v>
      </c>
      <c r="H137" s="401">
        <f t="shared" si="21"/>
        <v>5434.4250000000011</v>
      </c>
    </row>
    <row r="138" spans="1:8">
      <c r="A138" s="517" t="str">
        <f t="shared" si="19"/>
        <v>Jawar (Summer)</v>
      </c>
      <c r="B138" s="401">
        <f t="shared" si="21"/>
        <v>3531.2893649999996</v>
      </c>
      <c r="C138" s="401">
        <f t="shared" si="21"/>
        <v>3717.1466999999998</v>
      </c>
      <c r="D138" s="401">
        <f t="shared" si="21"/>
        <v>3903.0040349999999</v>
      </c>
      <c r="E138" s="401">
        <f t="shared" si="21"/>
        <v>4088.8613700000001</v>
      </c>
      <c r="F138" s="401">
        <f t="shared" si="21"/>
        <v>4274.7187050000002</v>
      </c>
      <c r="G138" s="401">
        <f t="shared" si="21"/>
        <v>4460.5760400000008</v>
      </c>
      <c r="H138" s="401">
        <f t="shared" si="21"/>
        <v>4646.4333750000005</v>
      </c>
    </row>
    <row r="139" spans="1:8">
      <c r="A139" s="373">
        <f t="shared" si="19"/>
        <v>0</v>
      </c>
      <c r="B139" s="401">
        <f t="shared" si="21"/>
        <v>0</v>
      </c>
      <c r="C139" s="401">
        <f t="shared" si="21"/>
        <v>0</v>
      </c>
      <c r="D139" s="401">
        <f t="shared" si="21"/>
        <v>0</v>
      </c>
      <c r="E139" s="401">
        <f t="shared" si="21"/>
        <v>0</v>
      </c>
      <c r="F139" s="401">
        <f t="shared" si="21"/>
        <v>0</v>
      </c>
      <c r="G139" s="401">
        <f t="shared" si="21"/>
        <v>0</v>
      </c>
      <c r="H139" s="401">
        <f t="shared" si="21"/>
        <v>0</v>
      </c>
    </row>
    <row r="140" spans="1:8">
      <c r="A140" s="373">
        <f t="shared" si="19"/>
        <v>0</v>
      </c>
      <c r="B140" s="401">
        <f t="shared" ref="B140:H141" si="22">B88-(B88*$G$6)</f>
        <v>0</v>
      </c>
      <c r="C140" s="401">
        <f t="shared" si="22"/>
        <v>0</v>
      </c>
      <c r="D140" s="401">
        <f t="shared" si="22"/>
        <v>0</v>
      </c>
      <c r="E140" s="401">
        <f t="shared" si="22"/>
        <v>0</v>
      </c>
      <c r="F140" s="401">
        <f t="shared" si="22"/>
        <v>0</v>
      </c>
      <c r="G140" s="401">
        <f t="shared" si="22"/>
        <v>0</v>
      </c>
      <c r="H140" s="401">
        <f t="shared" si="22"/>
        <v>0</v>
      </c>
    </row>
    <row r="141" spans="1:8">
      <c r="A141" s="373">
        <f t="shared" si="19"/>
        <v>0</v>
      </c>
      <c r="B141" s="401">
        <f t="shared" si="22"/>
        <v>0</v>
      </c>
      <c r="C141" s="401">
        <f t="shared" si="22"/>
        <v>0</v>
      </c>
      <c r="D141" s="401">
        <f t="shared" si="22"/>
        <v>0</v>
      </c>
      <c r="E141" s="401">
        <f t="shared" si="22"/>
        <v>0</v>
      </c>
      <c r="F141" s="401">
        <f t="shared" si="22"/>
        <v>0</v>
      </c>
      <c r="G141" s="401">
        <f t="shared" si="22"/>
        <v>0</v>
      </c>
      <c r="H141" s="401">
        <f t="shared" si="22"/>
        <v>0</v>
      </c>
    </row>
    <row r="142" spans="1:8">
      <c r="A142" s="280"/>
      <c r="B142" s="380"/>
      <c r="C142" s="380"/>
      <c r="D142" s="380"/>
      <c r="E142" s="380"/>
      <c r="F142" s="380"/>
      <c r="G142" s="380"/>
      <c r="H142" s="380"/>
    </row>
    <row r="143" spans="1:8">
      <c r="A143" s="333" t="str">
        <f t="shared" ref="A143:A161" si="23">A91</f>
        <v>Fruit  &amp; Vegetables Crop Production Details</v>
      </c>
      <c r="B143" s="380"/>
      <c r="C143" s="380"/>
      <c r="D143" s="380"/>
      <c r="E143" s="380"/>
      <c r="F143" s="380"/>
      <c r="G143" s="380"/>
      <c r="H143" s="380"/>
    </row>
    <row r="144" spans="1:8">
      <c r="A144" s="280" t="str">
        <f t="shared" si="23"/>
        <v>Onion</v>
      </c>
      <c r="B144" s="380">
        <f t="shared" ref="B144:H153" si="24">B92-(B92*$G$7)</f>
        <v>0</v>
      </c>
      <c r="C144" s="380">
        <f t="shared" si="24"/>
        <v>0</v>
      </c>
      <c r="D144" s="380">
        <f t="shared" si="24"/>
        <v>0</v>
      </c>
      <c r="E144" s="380">
        <f t="shared" si="24"/>
        <v>0</v>
      </c>
      <c r="F144" s="380">
        <f t="shared" si="24"/>
        <v>0</v>
      </c>
      <c r="G144" s="380">
        <f t="shared" si="24"/>
        <v>0</v>
      </c>
      <c r="H144" s="380">
        <f t="shared" si="24"/>
        <v>0</v>
      </c>
    </row>
    <row r="145" spans="1:8">
      <c r="A145" s="280" t="str">
        <f t="shared" si="23"/>
        <v>Tomato</v>
      </c>
      <c r="B145" s="380">
        <f t="shared" si="24"/>
        <v>0</v>
      </c>
      <c r="C145" s="380">
        <f t="shared" si="24"/>
        <v>0</v>
      </c>
      <c r="D145" s="380">
        <f t="shared" si="24"/>
        <v>0</v>
      </c>
      <c r="E145" s="380">
        <f t="shared" si="24"/>
        <v>0</v>
      </c>
      <c r="F145" s="380">
        <f t="shared" si="24"/>
        <v>0</v>
      </c>
      <c r="G145" s="380">
        <f t="shared" si="24"/>
        <v>0</v>
      </c>
      <c r="H145" s="380">
        <f t="shared" si="24"/>
        <v>0</v>
      </c>
    </row>
    <row r="146" spans="1:8">
      <c r="A146" s="280" t="str">
        <f t="shared" si="23"/>
        <v>Okra</v>
      </c>
      <c r="B146" s="380">
        <f t="shared" si="24"/>
        <v>0</v>
      </c>
      <c r="C146" s="380">
        <f t="shared" si="24"/>
        <v>0</v>
      </c>
      <c r="D146" s="380">
        <f t="shared" si="24"/>
        <v>0</v>
      </c>
      <c r="E146" s="380">
        <f t="shared" si="24"/>
        <v>0</v>
      </c>
      <c r="F146" s="380">
        <f t="shared" si="24"/>
        <v>0</v>
      </c>
      <c r="G146" s="380">
        <f t="shared" si="24"/>
        <v>0</v>
      </c>
      <c r="H146" s="380">
        <f t="shared" si="24"/>
        <v>0</v>
      </c>
    </row>
    <row r="147" spans="1:8">
      <c r="A147" s="280" t="str">
        <f t="shared" si="23"/>
        <v>Chilli</v>
      </c>
      <c r="B147" s="380">
        <f t="shared" si="24"/>
        <v>0</v>
      </c>
      <c r="C147" s="380">
        <f t="shared" si="24"/>
        <v>0</v>
      </c>
      <c r="D147" s="380">
        <f t="shared" si="24"/>
        <v>0</v>
      </c>
      <c r="E147" s="380">
        <f t="shared" si="24"/>
        <v>0</v>
      </c>
      <c r="F147" s="380">
        <f t="shared" si="24"/>
        <v>0</v>
      </c>
      <c r="G147" s="380">
        <f t="shared" si="24"/>
        <v>0</v>
      </c>
      <c r="H147" s="380">
        <f t="shared" si="24"/>
        <v>0</v>
      </c>
    </row>
    <row r="148" spans="1:8">
      <c r="A148" s="280" t="str">
        <f t="shared" si="23"/>
        <v>Potato</v>
      </c>
      <c r="B148" s="380">
        <f t="shared" si="24"/>
        <v>0</v>
      </c>
      <c r="C148" s="380">
        <f t="shared" si="24"/>
        <v>0</v>
      </c>
      <c r="D148" s="380">
        <f t="shared" si="24"/>
        <v>0</v>
      </c>
      <c r="E148" s="380">
        <f t="shared" si="24"/>
        <v>0</v>
      </c>
      <c r="F148" s="380">
        <f t="shared" si="24"/>
        <v>0</v>
      </c>
      <c r="G148" s="380">
        <f t="shared" si="24"/>
        <v>0</v>
      </c>
      <c r="H148" s="380">
        <f t="shared" si="24"/>
        <v>0</v>
      </c>
    </row>
    <row r="149" spans="1:8">
      <c r="A149" s="373">
        <f t="shared" si="23"/>
        <v>0</v>
      </c>
      <c r="B149" s="380">
        <f t="shared" si="24"/>
        <v>0</v>
      </c>
      <c r="C149" s="380">
        <f t="shared" si="24"/>
        <v>0</v>
      </c>
      <c r="D149" s="380">
        <f t="shared" si="24"/>
        <v>0</v>
      </c>
      <c r="E149" s="380">
        <f t="shared" si="24"/>
        <v>0</v>
      </c>
      <c r="F149" s="380">
        <f t="shared" si="24"/>
        <v>0</v>
      </c>
      <c r="G149" s="380">
        <f t="shared" si="24"/>
        <v>0</v>
      </c>
      <c r="H149" s="380">
        <f t="shared" si="24"/>
        <v>0</v>
      </c>
    </row>
    <row r="150" spans="1:8">
      <c r="A150" s="373">
        <f t="shared" si="23"/>
        <v>0</v>
      </c>
      <c r="B150" s="380">
        <f t="shared" si="24"/>
        <v>0</v>
      </c>
      <c r="C150" s="380">
        <f t="shared" si="24"/>
        <v>0</v>
      </c>
      <c r="D150" s="380">
        <f t="shared" si="24"/>
        <v>0</v>
      </c>
      <c r="E150" s="380">
        <f t="shared" si="24"/>
        <v>0</v>
      </c>
      <c r="F150" s="380">
        <f t="shared" si="24"/>
        <v>0</v>
      </c>
      <c r="G150" s="380">
        <f t="shared" si="24"/>
        <v>0</v>
      </c>
      <c r="H150" s="380">
        <f t="shared" si="24"/>
        <v>0</v>
      </c>
    </row>
    <row r="151" spans="1:8">
      <c r="A151" s="373">
        <f t="shared" si="23"/>
        <v>0</v>
      </c>
      <c r="B151" s="380">
        <f t="shared" si="24"/>
        <v>0</v>
      </c>
      <c r="C151" s="380">
        <f t="shared" si="24"/>
        <v>0</v>
      </c>
      <c r="D151" s="380">
        <f t="shared" si="24"/>
        <v>0</v>
      </c>
      <c r="E151" s="380">
        <f t="shared" si="24"/>
        <v>0</v>
      </c>
      <c r="F151" s="380">
        <f t="shared" si="24"/>
        <v>0</v>
      </c>
      <c r="G151" s="380">
        <f t="shared" si="24"/>
        <v>0</v>
      </c>
      <c r="H151" s="380">
        <f t="shared" si="24"/>
        <v>0</v>
      </c>
    </row>
    <row r="152" spans="1:8">
      <c r="A152" s="373">
        <f t="shared" si="23"/>
        <v>0</v>
      </c>
      <c r="B152" s="380">
        <f t="shared" si="24"/>
        <v>0</v>
      </c>
      <c r="C152" s="380">
        <f t="shared" si="24"/>
        <v>0</v>
      </c>
      <c r="D152" s="380">
        <f t="shared" si="24"/>
        <v>0</v>
      </c>
      <c r="E152" s="380">
        <f t="shared" si="24"/>
        <v>0</v>
      </c>
      <c r="F152" s="380">
        <f t="shared" si="24"/>
        <v>0</v>
      </c>
      <c r="G152" s="380">
        <f t="shared" si="24"/>
        <v>0</v>
      </c>
      <c r="H152" s="380">
        <f t="shared" si="24"/>
        <v>0</v>
      </c>
    </row>
    <row r="153" spans="1:8">
      <c r="A153" s="280" t="str">
        <f t="shared" si="23"/>
        <v>Onion</v>
      </c>
      <c r="B153" s="380">
        <f t="shared" si="24"/>
        <v>0</v>
      </c>
      <c r="C153" s="380">
        <f t="shared" si="24"/>
        <v>0</v>
      </c>
      <c r="D153" s="380">
        <f t="shared" si="24"/>
        <v>0</v>
      </c>
      <c r="E153" s="380">
        <f t="shared" si="24"/>
        <v>0</v>
      </c>
      <c r="F153" s="380">
        <f t="shared" si="24"/>
        <v>0</v>
      </c>
      <c r="G153" s="380">
        <f t="shared" si="24"/>
        <v>0</v>
      </c>
      <c r="H153" s="380">
        <f t="shared" si="24"/>
        <v>0</v>
      </c>
    </row>
    <row r="154" spans="1:8">
      <c r="A154" s="280" t="str">
        <f t="shared" si="23"/>
        <v>Tomato</v>
      </c>
      <c r="B154" s="380">
        <f t="shared" ref="B154:H161" si="25">B102-(B102*$G$7)</f>
        <v>0</v>
      </c>
      <c r="C154" s="380">
        <f t="shared" si="25"/>
        <v>0</v>
      </c>
      <c r="D154" s="380">
        <f t="shared" si="25"/>
        <v>0</v>
      </c>
      <c r="E154" s="380">
        <f t="shared" si="25"/>
        <v>0</v>
      </c>
      <c r="F154" s="380">
        <f t="shared" si="25"/>
        <v>0</v>
      </c>
      <c r="G154" s="380">
        <f t="shared" si="25"/>
        <v>0</v>
      </c>
      <c r="H154" s="380">
        <f t="shared" si="25"/>
        <v>0</v>
      </c>
    </row>
    <row r="155" spans="1:8">
      <c r="A155" s="280" t="str">
        <f t="shared" si="23"/>
        <v>Okra</v>
      </c>
      <c r="B155" s="380">
        <f t="shared" si="25"/>
        <v>0</v>
      </c>
      <c r="C155" s="380">
        <f t="shared" si="25"/>
        <v>0</v>
      </c>
      <c r="D155" s="380">
        <f t="shared" si="25"/>
        <v>0</v>
      </c>
      <c r="E155" s="380">
        <f t="shared" si="25"/>
        <v>0</v>
      </c>
      <c r="F155" s="380">
        <f t="shared" si="25"/>
        <v>0</v>
      </c>
      <c r="G155" s="380">
        <f t="shared" si="25"/>
        <v>0</v>
      </c>
      <c r="H155" s="380">
        <f t="shared" si="25"/>
        <v>0</v>
      </c>
    </row>
    <row r="156" spans="1:8">
      <c r="A156" s="280" t="str">
        <f t="shared" si="23"/>
        <v>Chilli</v>
      </c>
      <c r="B156" s="380">
        <f t="shared" si="25"/>
        <v>0</v>
      </c>
      <c r="C156" s="380">
        <f t="shared" si="25"/>
        <v>0</v>
      </c>
      <c r="D156" s="380">
        <f t="shared" si="25"/>
        <v>0</v>
      </c>
      <c r="E156" s="380">
        <f t="shared" si="25"/>
        <v>0</v>
      </c>
      <c r="F156" s="380">
        <f t="shared" si="25"/>
        <v>0</v>
      </c>
      <c r="G156" s="380">
        <f t="shared" si="25"/>
        <v>0</v>
      </c>
      <c r="H156" s="380">
        <f t="shared" si="25"/>
        <v>0</v>
      </c>
    </row>
    <row r="157" spans="1:8">
      <c r="A157" s="280" t="str">
        <f t="shared" si="23"/>
        <v>Brinjal</v>
      </c>
      <c r="B157" s="380">
        <f t="shared" si="25"/>
        <v>0</v>
      </c>
      <c r="C157" s="380">
        <f t="shared" si="25"/>
        <v>0</v>
      </c>
      <c r="D157" s="380">
        <f t="shared" si="25"/>
        <v>0</v>
      </c>
      <c r="E157" s="380">
        <f t="shared" si="25"/>
        <v>0</v>
      </c>
      <c r="F157" s="380">
        <f t="shared" si="25"/>
        <v>0</v>
      </c>
      <c r="G157" s="380">
        <f t="shared" si="25"/>
        <v>0</v>
      </c>
      <c r="H157" s="380">
        <f t="shared" si="25"/>
        <v>0</v>
      </c>
    </row>
    <row r="158" spans="1:8">
      <c r="A158" s="373">
        <f t="shared" si="23"/>
        <v>0</v>
      </c>
      <c r="B158" s="380">
        <f t="shared" si="25"/>
        <v>0</v>
      </c>
      <c r="C158" s="380">
        <f t="shared" si="25"/>
        <v>0</v>
      </c>
      <c r="D158" s="380">
        <f t="shared" si="25"/>
        <v>0</v>
      </c>
      <c r="E158" s="380">
        <f t="shared" si="25"/>
        <v>0</v>
      </c>
      <c r="F158" s="380">
        <f t="shared" si="25"/>
        <v>0</v>
      </c>
      <c r="G158" s="380">
        <f t="shared" si="25"/>
        <v>0</v>
      </c>
      <c r="H158" s="380">
        <f t="shared" si="25"/>
        <v>0</v>
      </c>
    </row>
    <row r="159" spans="1:8">
      <c r="A159" s="373">
        <f t="shared" si="23"/>
        <v>0</v>
      </c>
      <c r="B159" s="380">
        <f t="shared" si="25"/>
        <v>0</v>
      </c>
      <c r="C159" s="380">
        <f t="shared" si="25"/>
        <v>0</v>
      </c>
      <c r="D159" s="380">
        <f t="shared" si="25"/>
        <v>0</v>
      </c>
      <c r="E159" s="380">
        <f t="shared" si="25"/>
        <v>0</v>
      </c>
      <c r="F159" s="380">
        <f t="shared" si="25"/>
        <v>0</v>
      </c>
      <c r="G159" s="380">
        <f t="shared" si="25"/>
        <v>0</v>
      </c>
      <c r="H159" s="380">
        <f t="shared" si="25"/>
        <v>0</v>
      </c>
    </row>
    <row r="160" spans="1:8">
      <c r="A160" s="373">
        <f t="shared" si="23"/>
        <v>0</v>
      </c>
      <c r="B160" s="380">
        <f t="shared" si="25"/>
        <v>0</v>
      </c>
      <c r="C160" s="380">
        <f t="shared" si="25"/>
        <v>0</v>
      </c>
      <c r="D160" s="380">
        <f t="shared" si="25"/>
        <v>0</v>
      </c>
      <c r="E160" s="380">
        <f t="shared" si="25"/>
        <v>0</v>
      </c>
      <c r="F160" s="380">
        <f t="shared" si="25"/>
        <v>0</v>
      </c>
      <c r="G160" s="380">
        <f t="shared" si="25"/>
        <v>0</v>
      </c>
      <c r="H160" s="380">
        <f t="shared" si="25"/>
        <v>0</v>
      </c>
    </row>
    <row r="161" spans="1:10">
      <c r="A161" s="373">
        <f t="shared" si="23"/>
        <v>0</v>
      </c>
      <c r="B161" s="380">
        <f t="shared" si="25"/>
        <v>0</v>
      </c>
      <c r="C161" s="380">
        <f t="shared" si="25"/>
        <v>0</v>
      </c>
      <c r="D161" s="380">
        <f t="shared" si="25"/>
        <v>0</v>
      </c>
      <c r="E161" s="380">
        <f t="shared" si="25"/>
        <v>0</v>
      </c>
      <c r="F161" s="380">
        <f t="shared" si="25"/>
        <v>0</v>
      </c>
      <c r="G161" s="380">
        <f t="shared" si="25"/>
        <v>0</v>
      </c>
      <c r="H161" s="380">
        <f t="shared" si="25"/>
        <v>0</v>
      </c>
    </row>
    <row r="162" spans="1:10">
      <c r="A162" s="373">
        <f t="shared" ref="A162:A165" si="26">A110</f>
        <v>0</v>
      </c>
      <c r="B162" s="380">
        <f t="shared" ref="B162:H162" si="27">B110-(B110*$G$7)</f>
        <v>0</v>
      </c>
      <c r="C162" s="380">
        <f t="shared" si="27"/>
        <v>0</v>
      </c>
      <c r="D162" s="380">
        <f t="shared" si="27"/>
        <v>0</v>
      </c>
      <c r="E162" s="380">
        <f t="shared" si="27"/>
        <v>0</v>
      </c>
      <c r="F162" s="380">
        <f t="shared" si="27"/>
        <v>0</v>
      </c>
      <c r="G162" s="380">
        <f t="shared" si="27"/>
        <v>0</v>
      </c>
      <c r="H162" s="380">
        <f t="shared" si="27"/>
        <v>0</v>
      </c>
    </row>
    <row r="163" spans="1:10">
      <c r="A163" s="373">
        <f t="shared" si="26"/>
        <v>0</v>
      </c>
      <c r="B163" s="380">
        <f t="shared" ref="B163:H163" si="28">B111-(B111*$G$7)</f>
        <v>0</v>
      </c>
      <c r="C163" s="380">
        <f t="shared" si="28"/>
        <v>0</v>
      </c>
      <c r="D163" s="380">
        <f t="shared" si="28"/>
        <v>0</v>
      </c>
      <c r="E163" s="380">
        <f t="shared" si="28"/>
        <v>0</v>
      </c>
      <c r="F163" s="380">
        <f t="shared" si="28"/>
        <v>0</v>
      </c>
      <c r="G163" s="380">
        <f t="shared" si="28"/>
        <v>0</v>
      </c>
      <c r="H163" s="380">
        <f t="shared" si="28"/>
        <v>0</v>
      </c>
    </row>
    <row r="164" spans="1:10">
      <c r="A164" s="373">
        <f t="shared" si="26"/>
        <v>0</v>
      </c>
      <c r="B164" s="380">
        <f t="shared" ref="B164:H165" si="29">B112-(B112*$G$7)</f>
        <v>0</v>
      </c>
      <c r="C164" s="380">
        <f t="shared" si="29"/>
        <v>0</v>
      </c>
      <c r="D164" s="380">
        <f t="shared" si="29"/>
        <v>0</v>
      </c>
      <c r="E164" s="380">
        <f t="shared" si="29"/>
        <v>0</v>
      </c>
      <c r="F164" s="380">
        <f t="shared" si="29"/>
        <v>0</v>
      </c>
      <c r="G164" s="380">
        <f t="shared" si="29"/>
        <v>0</v>
      </c>
      <c r="H164" s="380">
        <f t="shared" si="29"/>
        <v>0</v>
      </c>
    </row>
    <row r="165" spans="1:10">
      <c r="A165" s="280" t="str">
        <f t="shared" si="26"/>
        <v>Pomegranate</v>
      </c>
      <c r="B165" s="380">
        <f t="shared" si="29"/>
        <v>0</v>
      </c>
      <c r="C165" s="380">
        <f t="shared" ref="C165:H168" si="30">C113-(C113*$G$7)</f>
        <v>0</v>
      </c>
      <c r="D165" s="380">
        <f t="shared" si="30"/>
        <v>0</v>
      </c>
      <c r="E165" s="380">
        <f t="shared" si="30"/>
        <v>0</v>
      </c>
      <c r="F165" s="380">
        <f t="shared" si="30"/>
        <v>0</v>
      </c>
      <c r="G165" s="380">
        <f t="shared" si="30"/>
        <v>0</v>
      </c>
      <c r="H165" s="380">
        <f t="shared" si="30"/>
        <v>0</v>
      </c>
    </row>
    <row r="166" spans="1:10">
      <c r="A166" s="280" t="str">
        <f>A114</f>
        <v>Custard Apple</v>
      </c>
      <c r="B166" s="380">
        <f>B114-(B114*$G$7)</f>
        <v>0</v>
      </c>
      <c r="C166" s="380">
        <f t="shared" si="30"/>
        <v>0</v>
      </c>
      <c r="D166" s="380">
        <f t="shared" si="30"/>
        <v>0</v>
      </c>
      <c r="E166" s="380">
        <f t="shared" si="30"/>
        <v>0</v>
      </c>
      <c r="F166" s="380">
        <f t="shared" si="30"/>
        <v>0</v>
      </c>
      <c r="G166" s="380">
        <f t="shared" si="30"/>
        <v>0</v>
      </c>
      <c r="H166" s="380">
        <f t="shared" si="30"/>
        <v>0</v>
      </c>
    </row>
    <row r="167" spans="1:10">
      <c r="A167" s="280" t="str">
        <f>A115</f>
        <v>Guava</v>
      </c>
      <c r="B167" s="380">
        <f>B115-(B115*$G$7)</f>
        <v>0</v>
      </c>
      <c r="C167" s="380">
        <f t="shared" si="30"/>
        <v>0</v>
      </c>
      <c r="D167" s="380">
        <f t="shared" si="30"/>
        <v>0</v>
      </c>
      <c r="E167" s="380">
        <f t="shared" si="30"/>
        <v>0</v>
      </c>
      <c r="F167" s="380">
        <f t="shared" si="30"/>
        <v>0</v>
      </c>
      <c r="G167" s="380">
        <f t="shared" si="30"/>
        <v>0</v>
      </c>
      <c r="H167" s="380">
        <f t="shared" si="30"/>
        <v>0</v>
      </c>
    </row>
    <row r="168" spans="1:10">
      <c r="A168" s="280" t="str">
        <f>A116</f>
        <v>Citrus</v>
      </c>
      <c r="B168" s="380">
        <f>B116-(B116*$G$7)</f>
        <v>0</v>
      </c>
      <c r="C168" s="380">
        <f t="shared" si="30"/>
        <v>0</v>
      </c>
      <c r="D168" s="380">
        <f t="shared" si="30"/>
        <v>0</v>
      </c>
      <c r="E168" s="380">
        <f t="shared" si="30"/>
        <v>0</v>
      </c>
      <c r="F168" s="380">
        <f t="shared" si="30"/>
        <v>0</v>
      </c>
      <c r="G168" s="380">
        <f t="shared" si="30"/>
        <v>0</v>
      </c>
      <c r="H168" s="380">
        <f t="shared" si="30"/>
        <v>0</v>
      </c>
    </row>
    <row r="169" spans="1:10">
      <c r="A169" s="386"/>
    </row>
    <row r="170" spans="1:10" ht="18">
      <c r="A170" s="601" t="s">
        <v>562</v>
      </c>
      <c r="B170" s="601"/>
      <c r="C170" s="601"/>
      <c r="D170" s="601"/>
      <c r="E170" s="601"/>
      <c r="F170" s="601"/>
      <c r="G170" s="601"/>
      <c r="H170" s="601"/>
      <c r="I170" s="601"/>
      <c r="J170" s="601"/>
    </row>
    <row r="171" spans="1:10">
      <c r="A171" s="387"/>
      <c r="B171" s="387"/>
      <c r="C171" s="387"/>
      <c r="D171" s="387"/>
      <c r="E171" s="387"/>
      <c r="F171" s="387"/>
      <c r="G171" s="387"/>
      <c r="H171" s="387"/>
    </row>
    <row r="172" spans="1:10">
      <c r="A172" s="387"/>
      <c r="B172" s="387"/>
      <c r="C172" s="387"/>
      <c r="D172" s="388">
        <v>1</v>
      </c>
      <c r="E172" s="388">
        <f>(D172*5%)+D172</f>
        <v>1.05</v>
      </c>
      <c r="F172" s="388">
        <f t="shared" ref="F172:J172" si="31">(E172*5%)+E172</f>
        <v>1.1025</v>
      </c>
      <c r="G172" s="388">
        <f t="shared" si="31"/>
        <v>1.1576250000000001</v>
      </c>
      <c r="H172" s="388">
        <f t="shared" si="31"/>
        <v>1.2155062500000002</v>
      </c>
      <c r="I172" s="388">
        <f t="shared" si="31"/>
        <v>1.2762815625000004</v>
      </c>
      <c r="J172" s="388">
        <f t="shared" si="31"/>
        <v>1.3400956406250004</v>
      </c>
    </row>
    <row r="174" spans="1:10">
      <c r="D174" s="325"/>
      <c r="E174" s="325"/>
      <c r="F174" s="325"/>
      <c r="G174" s="325"/>
      <c r="H174" s="325"/>
      <c r="I174" s="325"/>
      <c r="J174" s="325"/>
    </row>
    <row r="175" spans="1:10">
      <c r="A175" s="326" t="s">
        <v>0</v>
      </c>
      <c r="B175" s="326"/>
      <c r="C175" s="326" t="s">
        <v>151</v>
      </c>
      <c r="D175" s="327" t="s">
        <v>2</v>
      </c>
      <c r="E175" s="327" t="s">
        <v>3</v>
      </c>
      <c r="F175" s="327" t="s">
        <v>4</v>
      </c>
      <c r="G175" s="327" t="s">
        <v>5</v>
      </c>
      <c r="H175" s="327" t="s">
        <v>6</v>
      </c>
      <c r="I175" s="327" t="s">
        <v>166</v>
      </c>
      <c r="J175" s="327" t="s">
        <v>165</v>
      </c>
    </row>
    <row r="176" spans="1:10">
      <c r="A176" s="332"/>
      <c r="B176" s="332"/>
      <c r="C176" s="332"/>
      <c r="D176" s="329"/>
      <c r="E176" s="329"/>
      <c r="F176" s="329"/>
      <c r="G176" s="329"/>
      <c r="H176" s="329"/>
      <c r="I176" s="329"/>
      <c r="J176" s="329"/>
    </row>
    <row r="177" spans="1:10">
      <c r="A177" s="332" t="s">
        <v>127</v>
      </c>
      <c r="B177" s="332"/>
      <c r="C177" s="332"/>
      <c r="D177" s="329"/>
      <c r="E177" s="329"/>
      <c r="F177" s="329"/>
      <c r="G177" s="329"/>
      <c r="H177" s="329"/>
      <c r="I177" s="329"/>
      <c r="J177" s="329"/>
    </row>
    <row r="178" spans="1:10">
      <c r="A178" s="298" t="str">
        <f t="shared" ref="A178:A198" si="32">A120</f>
        <v>Maize (Kharif)</v>
      </c>
      <c r="B178" s="329" t="s">
        <v>347</v>
      </c>
      <c r="C178" s="389">
        <v>1700</v>
      </c>
      <c r="D178" s="359">
        <f>(B120*(1-'5.Closing Stock &amp; W Capital'!$D$16))*C$178*D172</f>
        <v>11117022.074999999</v>
      </c>
      <c r="E178" s="359">
        <f>((C120*(1-'5.Closing Stock &amp; W Capital'!$D$16))+(B120*'5.Closing Stock &amp; W Capital'!$D$16))*$C178*E$172</f>
        <v>12901596.671250001</v>
      </c>
      <c r="F178" s="359">
        <f>((D120*(1-'5.Closing Stock &amp; W Capital'!$D$16))+(C120*'5.Closing Stock &amp; W Capital'!$D$16))*$C178*F$172</f>
        <v>14225707.9085625</v>
      </c>
      <c r="G178" s="359">
        <f>((E120*(1-'5.Closing Stock &amp; W Capital'!$D$16))+(D120*'5.Closing Stock &amp; W Capital'!$D$16))*$C178*G$172</f>
        <v>15649976.277928125</v>
      </c>
      <c r="H178" s="359">
        <f>((F120*(1-'5.Closing Stock &amp; W Capital'!$D$16))+(E120*'5.Closing Stock &amp; W Capital'!$D$16))*$C178*H$172</f>
        <v>17181107.214458909</v>
      </c>
      <c r="I178" s="359">
        <f>((G120*(1-'5.Closing Stock &amp; W Capital'!$D$16))+(F120*'5.Closing Stock &amp; W Capital'!$D$16))*$C178*I$172</f>
        <v>18826226.303947948</v>
      </c>
      <c r="J178" s="359">
        <f>((H120*(1-'5.Closing Stock &amp; W Capital'!$D$16))+(G120*'5.Closing Stock &amp; W Capital'!$D$16))*$C178*J$172</f>
        <v>20592904.534349751</v>
      </c>
    </row>
    <row r="179" spans="1:10">
      <c r="A179" s="329" t="str">
        <f t="shared" si="32"/>
        <v>Red Gram/Tur</v>
      </c>
      <c r="B179" s="329" t="s">
        <v>347</v>
      </c>
      <c r="C179" s="389"/>
      <c r="D179" s="390">
        <f>(B121*(1-'5.Closing Stock &amp; W Capital'!$D$16))*$C179*D$172</f>
        <v>0</v>
      </c>
      <c r="E179" s="390">
        <f>((C121*(1-'5.Closing Stock &amp; W Capital'!$D$16))+(B121*'5.Closing Stock &amp; W Capital'!$D$16))*$C179*E$172</f>
        <v>0</v>
      </c>
      <c r="F179" s="390">
        <f>((D121*(1-'5.Closing Stock &amp; W Capital'!$D$16))+(C121*'5.Closing Stock &amp; W Capital'!$D$16))*$C179*F$172</f>
        <v>0</v>
      </c>
      <c r="G179" s="390">
        <f>((E121*(1-'5.Closing Stock &amp; W Capital'!$D$16))+(D121*'5.Closing Stock &amp; W Capital'!$D$16))*$C179*G$172</f>
        <v>0</v>
      </c>
      <c r="H179" s="390">
        <f>((F121*(1-'5.Closing Stock &amp; W Capital'!$D$16))+(E121*'5.Closing Stock &amp; W Capital'!$D$16))*$C179*H$172</f>
        <v>0</v>
      </c>
      <c r="I179" s="390">
        <f>((G121*(1-'5.Closing Stock &amp; W Capital'!$D$16))+(F121*'5.Closing Stock &amp; W Capital'!$D$16))*$C179*I$172</f>
        <v>0</v>
      </c>
      <c r="J179" s="390">
        <f>((H121*(1-'5.Closing Stock &amp; W Capital'!$D$16))+(G121*'5.Closing Stock &amp; W Capital'!$D$16))*$C179*J$172</f>
        <v>0</v>
      </c>
    </row>
    <row r="180" spans="1:10">
      <c r="A180" s="329" t="str">
        <f t="shared" si="32"/>
        <v>Paddy/Rice</v>
      </c>
      <c r="B180" s="329" t="s">
        <v>347</v>
      </c>
      <c r="C180" s="389"/>
      <c r="D180" s="390">
        <f>(B122*(1-'5.Closing Stock &amp; W Capital'!$D$16))*$C180*D$172</f>
        <v>0</v>
      </c>
      <c r="E180" s="390">
        <f>((C122*(1-'5.Closing Stock &amp; W Capital'!$D$16))+(B122*'5.Closing Stock &amp; W Capital'!$D$16))*$C180*E$172</f>
        <v>0</v>
      </c>
      <c r="F180" s="390">
        <f>((D122*(1-'5.Closing Stock &amp; W Capital'!$D$16))+(C122*'5.Closing Stock &amp; W Capital'!$D$16))*$C180*F$172</f>
        <v>0</v>
      </c>
      <c r="G180" s="390">
        <f>((E122*(1-'5.Closing Stock &amp; W Capital'!$D$16))+(D122*'5.Closing Stock &amp; W Capital'!$D$16))*$C180*G$172</f>
        <v>0</v>
      </c>
      <c r="H180" s="390">
        <f>((F122*(1-'5.Closing Stock &amp; W Capital'!$D$16))+(E122*'5.Closing Stock &amp; W Capital'!$D$16))*$C180*H$172</f>
        <v>0</v>
      </c>
      <c r="I180" s="390">
        <f>((G122*(1-'5.Closing Stock &amp; W Capital'!$D$16))+(F122*'5.Closing Stock &amp; W Capital'!$D$16))*$C180*I$172</f>
        <v>0</v>
      </c>
      <c r="J180" s="390">
        <f>((H122*(1-'5.Closing Stock &amp; W Capital'!$D$16))+(G122*'5.Closing Stock &amp; W Capital'!$D$16))*$C180*J$172</f>
        <v>0</v>
      </c>
    </row>
    <row r="181" spans="1:10">
      <c r="A181" s="329" t="str">
        <f t="shared" si="32"/>
        <v>Green Gram/ Moong</v>
      </c>
      <c r="B181" s="329" t="s">
        <v>347</v>
      </c>
      <c r="C181" s="389"/>
      <c r="D181" s="390">
        <f>(B123*(1-'5.Closing Stock &amp; W Capital'!$D$16))*$C181*D$172</f>
        <v>0</v>
      </c>
      <c r="E181" s="390">
        <f>((C123*(1-'5.Closing Stock &amp; W Capital'!$D$16))+(B123*'5.Closing Stock &amp; W Capital'!$D$16))*$C181*E$172</f>
        <v>0</v>
      </c>
      <c r="F181" s="390">
        <f>((D123*(1-'5.Closing Stock &amp; W Capital'!$D$16))+(C123*'5.Closing Stock &amp; W Capital'!$D$16))*$C181*F$172</f>
        <v>0</v>
      </c>
      <c r="G181" s="390">
        <f>((E123*(1-'5.Closing Stock &amp; W Capital'!$D$16))+(D123*'5.Closing Stock &amp; W Capital'!$D$16))*$C181*G$172</f>
        <v>0</v>
      </c>
      <c r="H181" s="390">
        <f>((F123*(1-'5.Closing Stock &amp; W Capital'!$D$16))+(E123*'5.Closing Stock &amp; W Capital'!$D$16))*$C181*H$172</f>
        <v>0</v>
      </c>
      <c r="I181" s="390">
        <f>((G123*(1-'5.Closing Stock &amp; W Capital'!$D$16))+(F123*'5.Closing Stock &amp; W Capital'!$D$16))*$C181*I$172</f>
        <v>0</v>
      </c>
      <c r="J181" s="390">
        <f>((H123*(1-'5.Closing Stock &amp; W Capital'!$D$16))+(G123*'5.Closing Stock &amp; W Capital'!$D$16))*$C181*J$172</f>
        <v>0</v>
      </c>
    </row>
    <row r="182" spans="1:10">
      <c r="A182" s="329" t="str">
        <f t="shared" si="32"/>
        <v>Soyabean</v>
      </c>
      <c r="B182" s="329" t="s">
        <v>347</v>
      </c>
      <c r="C182" s="389"/>
      <c r="D182" s="390">
        <f>(B124*(1-'5.Closing Stock &amp; W Capital'!$D$16))*$C182*D$172</f>
        <v>0</v>
      </c>
      <c r="E182" s="390">
        <f>((C124*(1-'5.Closing Stock &amp; W Capital'!$D$16))+(B124*'5.Closing Stock &amp; W Capital'!$D$16))*$C182*E$172</f>
        <v>0</v>
      </c>
      <c r="F182" s="390">
        <f>((D124*(1-'5.Closing Stock &amp; W Capital'!$D$16))+(C124*'5.Closing Stock &amp; W Capital'!$D$16))*$C182*F$172</f>
        <v>0</v>
      </c>
      <c r="G182" s="390">
        <f>((E124*(1-'5.Closing Stock &amp; W Capital'!$D$16))+(D124*'5.Closing Stock &amp; W Capital'!$D$16))*$C182*G$172</f>
        <v>0</v>
      </c>
      <c r="H182" s="390">
        <f>((F124*(1-'5.Closing Stock &amp; W Capital'!$D$16))+(E124*'5.Closing Stock &amp; W Capital'!$D$16))*$C182*H$172</f>
        <v>0</v>
      </c>
      <c r="I182" s="390">
        <f>((G124*(1-'5.Closing Stock &amp; W Capital'!$D$16))+(F124*'5.Closing Stock &amp; W Capital'!$D$16))*$C182*I$172</f>
        <v>0</v>
      </c>
      <c r="J182" s="390">
        <f>((H124*(1-'5.Closing Stock &amp; W Capital'!$D$16))+(G124*'5.Closing Stock &amp; W Capital'!$D$16))*$C182*J$172</f>
        <v>0</v>
      </c>
    </row>
    <row r="183" spans="1:10">
      <c r="A183" s="329" t="str">
        <f t="shared" si="32"/>
        <v>Black Gram/Udid</v>
      </c>
      <c r="B183" s="329" t="s">
        <v>347</v>
      </c>
      <c r="C183" s="389"/>
      <c r="D183" s="390">
        <f>(B125*(1-'5.Closing Stock &amp; W Capital'!$D$16))*$C183*D$172</f>
        <v>0</v>
      </c>
      <c r="E183" s="390">
        <f>((C125*(1-'5.Closing Stock &amp; W Capital'!$D$16))+(B125*'5.Closing Stock &amp; W Capital'!$D$16))*$C183*E$172</f>
        <v>0</v>
      </c>
      <c r="F183" s="390">
        <f>((D125*(1-'5.Closing Stock &amp; W Capital'!$D$16))+(C125*'5.Closing Stock &amp; W Capital'!$D$16))*$C183*F$172</f>
        <v>0</v>
      </c>
      <c r="G183" s="390">
        <f>((E125*(1-'5.Closing Stock &amp; W Capital'!$D$16))+(D125*'5.Closing Stock &amp; W Capital'!$D$16))*$C183*G$172</f>
        <v>0</v>
      </c>
      <c r="H183" s="390">
        <f>((F125*(1-'5.Closing Stock &amp; W Capital'!$D$16))+(E125*'5.Closing Stock &amp; W Capital'!$D$16))*$C183*H$172</f>
        <v>0</v>
      </c>
      <c r="I183" s="390">
        <f>((G125*(1-'5.Closing Stock &amp; W Capital'!$D$16))+(F125*'5.Closing Stock &amp; W Capital'!$D$16))*$C183*I$172</f>
        <v>0</v>
      </c>
      <c r="J183" s="390">
        <f>((H125*(1-'5.Closing Stock &amp; W Capital'!$D$16))+(G125*'5.Closing Stock &amp; W Capital'!$D$16))*$C183*J$172</f>
        <v>0</v>
      </c>
    </row>
    <row r="184" spans="1:10">
      <c r="A184" s="298" t="str">
        <f t="shared" si="32"/>
        <v>Bajra (Kharif)</v>
      </c>
      <c r="B184" s="329" t="s">
        <v>347</v>
      </c>
      <c r="C184" s="389">
        <v>2600</v>
      </c>
      <c r="D184" s="390">
        <f>(B126*(1-'5.Closing Stock &amp; W Capital'!$D$16))*$C184*D$172</f>
        <v>5100751.3049999997</v>
      </c>
      <c r="E184" s="390">
        <f>((C126*(1-'5.Closing Stock &amp; W Capital'!$D$16))+(B126*'5.Closing Stock &amp; W Capital'!$D$16))*$C184*E$172</f>
        <v>5919556.1197499996</v>
      </c>
      <c r="F184" s="390">
        <f>((D126*(1-'5.Closing Stock &amp; W Capital'!$D$16))+(C126*'5.Closing Stock &amp; W Capital'!$D$16))*$C184*F$172</f>
        <v>6527089.5109875007</v>
      </c>
      <c r="G184" s="390">
        <f>((E126*(1-'5.Closing Stock &amp; W Capital'!$D$16))+(D126*'5.Closing Stock &amp; W Capital'!$D$16))*$C184*G$172</f>
        <v>7180577.3510493776</v>
      </c>
      <c r="H184" s="390">
        <f>((F126*(1-'5.Closing Stock &amp; W Capital'!$D$16))+(E126*'5.Closing Stock &amp; W Capital'!$D$16))*$C184*H$172</f>
        <v>7883096.2513399711</v>
      </c>
      <c r="I184" s="390">
        <f>((G126*(1-'5.Closing Stock &amp; W Capital'!$D$16))+(F126*'5.Closing Stock &amp; W Capital'!$D$16))*$C184*I$172</f>
        <v>8637915.598282</v>
      </c>
      <c r="J184" s="390">
        <f>((H126*(1-'5.Closing Stock &amp; W Capital'!$D$16))+(G126*'5.Closing Stock &amp; W Capital'!$D$16))*$C184*J$172</f>
        <v>9448509.1392898839</v>
      </c>
    </row>
    <row r="185" spans="1:10">
      <c r="A185" s="329" t="str">
        <f t="shared" si="32"/>
        <v>Jawar</v>
      </c>
      <c r="B185" s="329" t="s">
        <v>347</v>
      </c>
      <c r="C185" s="389"/>
      <c r="D185" s="390">
        <f>(B127*(1-'5.Closing Stock &amp; W Capital'!$D$16))*$C185*D$172</f>
        <v>0</v>
      </c>
      <c r="E185" s="390">
        <f>((C127*(1-'5.Closing Stock &amp; W Capital'!$D$16))+(B127*'5.Closing Stock &amp; W Capital'!$D$16))*$C185*E$172</f>
        <v>0</v>
      </c>
      <c r="F185" s="390">
        <f>((D127*(1-'5.Closing Stock &amp; W Capital'!$D$16))+(C127*'5.Closing Stock &amp; W Capital'!$D$16))*$C185*F$172</f>
        <v>0</v>
      </c>
      <c r="G185" s="390">
        <f>((E127*(1-'5.Closing Stock &amp; W Capital'!$D$16))+(D127*'5.Closing Stock &amp; W Capital'!$D$16))*$C185*G$172</f>
        <v>0</v>
      </c>
      <c r="H185" s="390">
        <f>((F127*(1-'5.Closing Stock &amp; W Capital'!$D$16))+(E127*'5.Closing Stock &amp; W Capital'!$D$16))*$C185*H$172</f>
        <v>0</v>
      </c>
      <c r="I185" s="390">
        <f>((G127*(1-'5.Closing Stock &amp; W Capital'!$D$16))+(F127*'5.Closing Stock &amp; W Capital'!$D$16))*$C185*I$172</f>
        <v>0</v>
      </c>
      <c r="J185" s="390">
        <f>((H127*(1-'5.Closing Stock &amp; W Capital'!$D$16))+(G127*'5.Closing Stock &amp; W Capital'!$D$16))*$C185*J$172</f>
        <v>0</v>
      </c>
    </row>
    <row r="186" spans="1:10">
      <c r="A186" s="329" t="str">
        <f t="shared" si="32"/>
        <v>Sunflower</v>
      </c>
      <c r="B186" s="329" t="s">
        <v>347</v>
      </c>
      <c r="C186" s="389"/>
      <c r="D186" s="390">
        <f>(B128*(1-'5.Closing Stock &amp; W Capital'!$D$16))*$C186*D$172</f>
        <v>0</v>
      </c>
      <c r="E186" s="390">
        <f>((C128*(1-'5.Closing Stock &amp; W Capital'!$D$16))+(B128*'5.Closing Stock &amp; W Capital'!$D$16))*$C186*E$172</f>
        <v>0</v>
      </c>
      <c r="F186" s="390">
        <f>((D128*(1-'5.Closing Stock &amp; W Capital'!$D$16))+(C128*'5.Closing Stock &amp; W Capital'!$D$16))*$C186*F$172</f>
        <v>0</v>
      </c>
      <c r="G186" s="390">
        <f>((E128*(1-'5.Closing Stock &amp; W Capital'!$D$16))+(D128*'5.Closing Stock &amp; W Capital'!$D$16))*$C186*G$172</f>
        <v>0</v>
      </c>
      <c r="H186" s="390">
        <f>((F128*(1-'5.Closing Stock &amp; W Capital'!$D$16))+(E128*'5.Closing Stock &amp; W Capital'!$D$16))*$C186*H$172</f>
        <v>0</v>
      </c>
      <c r="I186" s="390">
        <f>((G128*(1-'5.Closing Stock &amp; W Capital'!$D$16))+(F128*'5.Closing Stock &amp; W Capital'!$D$16))*$C186*I$172</f>
        <v>0</v>
      </c>
      <c r="J186" s="390">
        <f>((H128*(1-'5.Closing Stock &amp; W Capital'!$D$16))+(G128*'5.Closing Stock &amp; W Capital'!$D$16))*$C186*J$172</f>
        <v>0</v>
      </c>
    </row>
    <row r="187" spans="1:10">
      <c r="A187" s="516" t="str">
        <f t="shared" si="32"/>
        <v>Maize (Rabbi)</v>
      </c>
      <c r="B187" s="329" t="s">
        <v>347</v>
      </c>
      <c r="C187" s="389">
        <v>1700</v>
      </c>
      <c r="D187" s="390">
        <f>(B129*(1-'5.Closing Stock &amp; W Capital'!$D$16))*$C187*D$172</f>
        <v>7781915.4524999978</v>
      </c>
      <c r="E187" s="390">
        <f>((C129*(1-'5.Closing Stock &amp; W Capital'!$D$16))+(B129*'5.Closing Stock &amp; W Capital'!$D$16))*$C187*E$172</f>
        <v>9031117.6698749978</v>
      </c>
      <c r="F187" s="390">
        <f>((D129*(1-'5.Closing Stock &amp; W Capital'!$D$16))+(C129*'5.Closing Stock &amp; W Capital'!$D$16))*$C187*F$172</f>
        <v>9957995.5359937493</v>
      </c>
      <c r="G187" s="390">
        <f>((E129*(1-'5.Closing Stock &amp; W Capital'!$D$16))+(D129*'5.Closing Stock &amp; W Capital'!$D$16))*$C187*G$172</f>
        <v>10954983.394549688</v>
      </c>
      <c r="H187" s="390">
        <f>((F129*(1-'5.Closing Stock &amp; W Capital'!$D$16))+(E129*'5.Closing Stock &amp; W Capital'!$D$16))*$C187*H$172</f>
        <v>12026775.050121235</v>
      </c>
      <c r="I187" s="390">
        <f>((G129*(1-'5.Closing Stock &amp; W Capital'!$D$16))+(F129*'5.Closing Stock &amp; W Capital'!$D$16))*$C187*I$172</f>
        <v>13178358.412763566</v>
      </c>
      <c r="J187" s="390">
        <f>((H129*(1-'5.Closing Stock &amp; W Capital'!$D$16))+(G129*'5.Closing Stock &amp; W Capital'!$D$16))*$C187*J$172</f>
        <v>14415033.174044823</v>
      </c>
    </row>
    <row r="188" spans="1:10">
      <c r="A188" s="516" t="str">
        <f t="shared" si="32"/>
        <v>Gram (Rabbi)</v>
      </c>
      <c r="B188" s="329" t="s">
        <v>347</v>
      </c>
      <c r="C188" s="389">
        <v>3800</v>
      </c>
      <c r="D188" s="390">
        <f>(B130*(1-'5.Closing Stock &amp; W Capital'!$D$16))*$C188*D$172</f>
        <v>5963955.3719999986</v>
      </c>
      <c r="E188" s="390">
        <f>((C130*(1-'5.Closing Stock &amp; W Capital'!$D$16))+(B130*'5.Closing Stock &amp; W Capital'!$D$16))*$C188*E$172</f>
        <v>6921327.1553999996</v>
      </c>
      <c r="F188" s="390">
        <f>((D130*(1-'5.Closing Stock &amp; W Capital'!$D$16))+(C130*'5.Closing Stock &amp; W Capital'!$D$16))*$C188*F$172</f>
        <v>7631673.8897700012</v>
      </c>
      <c r="G188" s="390">
        <f>((E130*(1-'5.Closing Stock &amp; W Capital'!$D$16))+(D130*'5.Closing Stock &amp; W Capital'!$D$16))*$C188*G$172</f>
        <v>8395751.9796885028</v>
      </c>
      <c r="H188" s="390">
        <f>((F130*(1-'5.Closing Stock &amp; W Capital'!$D$16))+(E130*'5.Closing Stock &amp; W Capital'!$D$16))*$C188*H$172</f>
        <v>9217158.693874428</v>
      </c>
      <c r="I188" s="390">
        <f>((G130*(1-'5.Closing Stock &amp; W Capital'!$D$16))+(F130*'5.Closing Stock &amp; W Capital'!$D$16))*$C188*I$172</f>
        <v>10099716.699529724</v>
      </c>
      <c r="J188" s="390">
        <f>((H130*(1-'5.Closing Stock &amp; W Capital'!$D$16))+(G130*'5.Closing Stock &amp; W Capital'!$D$16))*$C188*J$172</f>
        <v>11047487.609015863</v>
      </c>
    </row>
    <row r="189" spans="1:10">
      <c r="A189" s="516" t="str">
        <f t="shared" si="32"/>
        <v>Wheat (Rabbi)</v>
      </c>
      <c r="B189" s="329" t="s">
        <v>347</v>
      </c>
      <c r="C189" s="389">
        <v>2400</v>
      </c>
      <c r="D189" s="390">
        <f>(B131*(1-'5.Closing Stock &amp; W Capital'!$D$16))*$C189*D$172</f>
        <v>7533417.3119999981</v>
      </c>
      <c r="E189" s="390">
        <f>((C131*(1-'5.Closing Stock &amp; W Capital'!$D$16))+(B131*'5.Closing Stock &amp; W Capital'!$D$16))*$C189*E$172</f>
        <v>8742729.0384</v>
      </c>
      <c r="F189" s="390">
        <f>((D131*(1-'5.Closing Stock &amp; W Capital'!$D$16))+(C131*'5.Closing Stock &amp; W Capital'!$D$16))*$C189*F$172</f>
        <v>9640009.1239200011</v>
      </c>
      <c r="G189" s="390">
        <f>((E131*(1-'5.Closing Stock &amp; W Capital'!$D$16))+(D131*'5.Closing Stock &amp; W Capital'!$D$16))*$C189*G$172</f>
        <v>10605160.395396002</v>
      </c>
      <c r="H189" s="390">
        <f>((F131*(1-'5.Closing Stock &amp; W Capital'!$D$16))+(E131*'5.Closing Stock &amp; W Capital'!$D$16))*$C189*H$172</f>
        <v>11642726.771209804</v>
      </c>
      <c r="I189" s="390">
        <f>((G131*(1-'5.Closing Stock &amp; W Capital'!$D$16))+(F131*'5.Closing Stock &amp; W Capital'!$D$16))*$C189*I$172</f>
        <v>12757536.883616494</v>
      </c>
      <c r="J189" s="390">
        <f>((H131*(1-'5.Closing Stock &amp; W Capital'!$D$16))+(G131*'5.Closing Stock &amp; W Capital'!$D$16))*$C189*J$172</f>
        <v>13954721.190335827</v>
      </c>
    </row>
    <row r="190" spans="1:10">
      <c r="A190" s="329">
        <f t="shared" si="32"/>
        <v>0</v>
      </c>
      <c r="B190" s="329" t="s">
        <v>347</v>
      </c>
      <c r="C190" s="389"/>
      <c r="D190" s="390">
        <f>(B132*(1-'5.Closing Stock &amp; W Capital'!$D$16))*$C190*D$172</f>
        <v>0</v>
      </c>
      <c r="E190" s="390">
        <f>((C132*(1-'5.Closing Stock &amp; W Capital'!$D$16))+(B132*'5.Closing Stock &amp; W Capital'!$D$16))*$C190*E$172</f>
        <v>0</v>
      </c>
      <c r="F190" s="390">
        <f>((D132*(1-'5.Closing Stock &amp; W Capital'!$D$16))+(C132*'5.Closing Stock &amp; W Capital'!$D$16))*$C190*F$172</f>
        <v>0</v>
      </c>
      <c r="G190" s="390">
        <f>((E132*(1-'5.Closing Stock &amp; W Capital'!$D$16))+(D132*'5.Closing Stock &amp; W Capital'!$D$16))*$C190*G$172</f>
        <v>0</v>
      </c>
      <c r="H190" s="390">
        <f>((F132*(1-'5.Closing Stock &amp; W Capital'!$D$16))+(E132*'5.Closing Stock &amp; W Capital'!$D$16))*$C190*H$172</f>
        <v>0</v>
      </c>
      <c r="I190" s="390">
        <f>((G132*(1-'5.Closing Stock &amp; W Capital'!$D$16))+(F132*'5.Closing Stock &amp; W Capital'!$D$16))*$C190*I$172</f>
        <v>0</v>
      </c>
      <c r="J190" s="390">
        <f>((H132*(1-'5.Closing Stock &amp; W Capital'!$D$16))+(G132*'5.Closing Stock &amp; W Capital'!$D$16))*$C190*J$172</f>
        <v>0</v>
      </c>
    </row>
    <row r="191" spans="1:10">
      <c r="A191" s="329">
        <f t="shared" si="32"/>
        <v>0</v>
      </c>
      <c r="B191" s="329" t="s">
        <v>347</v>
      </c>
      <c r="C191" s="389"/>
      <c r="D191" s="390">
        <f>(B133*(1-'5.Closing Stock &amp; W Capital'!$D$16))*$C191*D$172</f>
        <v>0</v>
      </c>
      <c r="E191" s="390">
        <f>((C133*(1-'5.Closing Stock &amp; W Capital'!$D$16))+(B133*'5.Closing Stock &amp; W Capital'!$D$16))*$C191*E$172</f>
        <v>0</v>
      </c>
      <c r="F191" s="390">
        <f>((D133*(1-'5.Closing Stock &amp; W Capital'!$D$16))+(C133*'5.Closing Stock &amp; W Capital'!$D$16))*$C191*F$172</f>
        <v>0</v>
      </c>
      <c r="G191" s="390">
        <f>((E133*(1-'5.Closing Stock &amp; W Capital'!$D$16))+(D133*'5.Closing Stock &amp; W Capital'!$D$16))*$C191*G$172</f>
        <v>0</v>
      </c>
      <c r="H191" s="390">
        <f>((F133*(1-'5.Closing Stock &amp; W Capital'!$D$16))+(E133*'5.Closing Stock &amp; W Capital'!$D$16))*$C191*H$172</f>
        <v>0</v>
      </c>
      <c r="I191" s="390">
        <f>((G133*(1-'5.Closing Stock &amp; W Capital'!$D$16))+(F133*'5.Closing Stock &amp; W Capital'!$D$16))*$C191*I$172</f>
        <v>0</v>
      </c>
      <c r="J191" s="390">
        <f>((H133*(1-'5.Closing Stock &amp; W Capital'!$D$16))+(G133*'5.Closing Stock &amp; W Capital'!$D$16))*$C191*J$172</f>
        <v>0</v>
      </c>
    </row>
    <row r="192" spans="1:10">
      <c r="A192" s="357">
        <f t="shared" si="32"/>
        <v>0</v>
      </c>
      <c r="B192" s="329" t="s">
        <v>347</v>
      </c>
      <c r="C192" s="389"/>
      <c r="D192" s="390">
        <f>(B134*(1-'5.Closing Stock &amp; W Capital'!$D$16))*$C192*D$172</f>
        <v>0</v>
      </c>
      <c r="E192" s="390">
        <f>((C134*(1-'5.Closing Stock &amp; W Capital'!$D$16))+(B134*'5.Closing Stock &amp; W Capital'!$D$16))*$C192*E$172</f>
        <v>0</v>
      </c>
      <c r="F192" s="390">
        <f>((D134*(1-'5.Closing Stock &amp; W Capital'!$D$16))+(C134*'5.Closing Stock &amp; W Capital'!$D$16))*$C192*F$172</f>
        <v>0</v>
      </c>
      <c r="G192" s="390">
        <f>((E134*(1-'5.Closing Stock &amp; W Capital'!$D$16))+(D134*'5.Closing Stock &amp; W Capital'!$D$16))*$C192*G$172</f>
        <v>0</v>
      </c>
      <c r="H192" s="390">
        <f>((F134*(1-'5.Closing Stock &amp; W Capital'!$D$16))+(E134*'5.Closing Stock &amp; W Capital'!$D$16))*$C192*H$172</f>
        <v>0</v>
      </c>
      <c r="I192" s="390">
        <f>((G134*(1-'5.Closing Stock &amp; W Capital'!$D$16))+(F134*'5.Closing Stock &amp; W Capital'!$D$16))*$C192*I$172</f>
        <v>0</v>
      </c>
      <c r="J192" s="390">
        <f>((H134*(1-'5.Closing Stock &amp; W Capital'!$D$16))+(G134*'5.Closing Stock &amp; W Capital'!$D$16))*$C192*J$172</f>
        <v>0</v>
      </c>
    </row>
    <row r="193" spans="1:10">
      <c r="A193" s="357">
        <f t="shared" si="32"/>
        <v>0</v>
      </c>
      <c r="B193" s="329" t="s">
        <v>347</v>
      </c>
      <c r="C193" s="389"/>
      <c r="D193" s="390">
        <f>(B135*(1-'5.Closing Stock &amp; W Capital'!$D$16))*$C193*D$172</f>
        <v>0</v>
      </c>
      <c r="E193" s="390">
        <f>((C135*(1-'5.Closing Stock &amp; W Capital'!$D$16))+(B135*'5.Closing Stock &amp; W Capital'!$D$16))*$C193*E$172</f>
        <v>0</v>
      </c>
      <c r="F193" s="390">
        <f>((D135*(1-'5.Closing Stock &amp; W Capital'!$D$16))+(C135*'5.Closing Stock &amp; W Capital'!$D$16))*$C193*F$172</f>
        <v>0</v>
      </c>
      <c r="G193" s="390">
        <f>((E135*(1-'5.Closing Stock &amp; W Capital'!$D$16))+(D135*'5.Closing Stock &amp; W Capital'!$D$16))*$C193*G$172</f>
        <v>0</v>
      </c>
      <c r="H193" s="390">
        <f>((F135*(1-'5.Closing Stock &amp; W Capital'!$D$16))+(E135*'5.Closing Stock &amp; W Capital'!$D$16))*$C193*H$172</f>
        <v>0</v>
      </c>
      <c r="I193" s="390">
        <f>((G135*(1-'5.Closing Stock &amp; W Capital'!$D$16))+(F135*'5.Closing Stock &amp; W Capital'!$D$16))*$C193*I$172</f>
        <v>0</v>
      </c>
      <c r="J193" s="390">
        <f>((H135*(1-'5.Closing Stock &amp; W Capital'!$D$16))+(G135*'5.Closing Stock &amp; W Capital'!$D$16))*$C193*J$172</f>
        <v>0</v>
      </c>
    </row>
    <row r="194" spans="1:10">
      <c r="A194" s="357">
        <f t="shared" si="32"/>
        <v>0</v>
      </c>
      <c r="B194" s="329" t="s">
        <v>347</v>
      </c>
      <c r="C194" s="389"/>
      <c r="D194" s="390">
        <f>(B136*(1-'5.Closing Stock &amp; W Capital'!$D$16))*$C194*D$172</f>
        <v>0</v>
      </c>
      <c r="E194" s="390">
        <f>((C136*(1-'5.Closing Stock &amp; W Capital'!$D$16))+(B136*'5.Closing Stock &amp; W Capital'!$D$16))*$C194*E$172</f>
        <v>0</v>
      </c>
      <c r="F194" s="390">
        <f>((D136*(1-'5.Closing Stock &amp; W Capital'!$D$16))+(C136*'5.Closing Stock &amp; W Capital'!$D$16))*$C194*F$172</f>
        <v>0</v>
      </c>
      <c r="G194" s="390">
        <f>((E136*(1-'5.Closing Stock &amp; W Capital'!$D$16))+(D136*'5.Closing Stock &amp; W Capital'!$D$16))*$C194*G$172</f>
        <v>0</v>
      </c>
      <c r="H194" s="390">
        <f>((F136*(1-'5.Closing Stock &amp; W Capital'!$D$16))+(E136*'5.Closing Stock &amp; W Capital'!$D$16))*$C194*H$172</f>
        <v>0</v>
      </c>
      <c r="I194" s="390">
        <f>((G136*(1-'5.Closing Stock &amp; W Capital'!$D$16))+(F136*'5.Closing Stock &amp; W Capital'!$D$16))*$C194*I$172</f>
        <v>0</v>
      </c>
      <c r="J194" s="390">
        <f>((H136*(1-'5.Closing Stock &amp; W Capital'!$D$16))+(G136*'5.Closing Stock &amp; W Capital'!$D$16))*$C194*J$172</f>
        <v>0</v>
      </c>
    </row>
    <row r="195" spans="1:10">
      <c r="A195" s="518" t="str">
        <f t="shared" si="32"/>
        <v>Maize (Summer)</v>
      </c>
      <c r="B195" s="329" t="s">
        <v>347</v>
      </c>
      <c r="C195" s="389">
        <v>1700</v>
      </c>
      <c r="D195" s="390">
        <f>(B137*(1-'5.Closing Stock &amp; W Capital'!$D$16))*$C195*D$172</f>
        <v>6670213.2449999992</v>
      </c>
      <c r="E195" s="390">
        <f>((C137*(1-'5.Closing Stock &amp; W Capital'!$D$16))+(B137*'5.Closing Stock &amp; W Capital'!$D$16))*$C195*E$172</f>
        <v>7740958.0027499981</v>
      </c>
      <c r="F195" s="390">
        <f>((D137*(1-'5.Closing Stock &amp; W Capital'!$D$16))+(C137*'5.Closing Stock &amp; W Capital'!$D$16))*$C195*F$172</f>
        <v>8535424.7451375015</v>
      </c>
      <c r="G195" s="390">
        <f>((E137*(1-'5.Closing Stock &amp; W Capital'!$D$16))+(D137*'5.Closing Stock &amp; W Capital'!$D$16))*$C195*G$172</f>
        <v>9389985.7667568773</v>
      </c>
      <c r="H195" s="390">
        <f>((F137*(1-'5.Closing Stock &amp; W Capital'!$D$16))+(E137*'5.Closing Stock &amp; W Capital'!$D$16))*$C195*H$172</f>
        <v>10308664.328675346</v>
      </c>
      <c r="I195" s="390">
        <f>((G137*(1-'5.Closing Stock &amp; W Capital'!$D$16))+(F137*'5.Closing Stock &amp; W Capital'!$D$16))*$C195*I$172</f>
        <v>11295735.78236877</v>
      </c>
      <c r="J195" s="390">
        <f>((H137*(1-'5.Closing Stock &amp; W Capital'!$D$16))+(G137*'5.Closing Stock &amp; W Capital'!$D$16))*$C195*J$172</f>
        <v>12355742.720609849</v>
      </c>
    </row>
    <row r="196" spans="1:10">
      <c r="A196" s="518" t="str">
        <f t="shared" si="32"/>
        <v>Jawar (Summer)</v>
      </c>
      <c r="B196" s="329" t="s">
        <v>347</v>
      </c>
      <c r="C196" s="389">
        <v>3500</v>
      </c>
      <c r="D196" s="390">
        <f>(B138*(1-'5.Closing Stock &amp; W Capital'!$D$16))*$C196*D$172</f>
        <v>11741537.138624998</v>
      </c>
      <c r="E196" s="390">
        <f>((C138*(1-'5.Closing Stock &amp; W Capital'!$D$16))+(B138*'5.Closing Stock &amp; W Capital'!$D$16))*$C196*E$172</f>
        <v>13626362.83719375</v>
      </c>
      <c r="F196" s="390">
        <f>((D138*(1-'5.Closing Stock &amp; W Capital'!$D$16))+(C138*'5.Closing Stock &amp; W Capital'!$D$16))*$C196*F$172</f>
        <v>15024857.970484687</v>
      </c>
      <c r="G196" s="390">
        <f>((E138*(1-'5.Closing Stock &amp; W Capital'!$D$16))+(D138*'5.Closing Stock &amp; W Capital'!$D$16))*$C196*G$172</f>
        <v>16529136.710011737</v>
      </c>
      <c r="H196" s="390">
        <f>((F138*(1-'5.Closing Stock &amp; W Capital'!$D$16))+(E138*'5.Closing Stock &amp; W Capital'!$D$16))*$C196*H$172</f>
        <v>18146281.178565279</v>
      </c>
      <c r="I196" s="390">
        <f>((G138*(1-'5.Closing Stock &amp; W Capital'!$D$16))+(F138*'5.Closing Stock &amp; W Capital'!$D$16))*$C196*I$172</f>
        <v>19883817.252199147</v>
      </c>
      <c r="J196" s="390">
        <f>((H138*(1-'5.Closing Stock &amp; W Capital'!$D$16))+(G138*'5.Closing Stock &amp; W Capital'!$D$16))*$C196*J$172</f>
        <v>21749741.230249986</v>
      </c>
    </row>
    <row r="197" spans="1:10">
      <c r="A197" s="357">
        <f t="shared" si="32"/>
        <v>0</v>
      </c>
      <c r="B197" s="329" t="s">
        <v>347</v>
      </c>
      <c r="C197" s="389"/>
      <c r="D197" s="390">
        <f>(B139*(1-'5.Closing Stock &amp; W Capital'!$D$16))*$C197*D$172</f>
        <v>0</v>
      </c>
      <c r="E197" s="390">
        <f>((C139*(1-'5.Closing Stock &amp; W Capital'!$D$16))+(B139*'5.Closing Stock &amp; W Capital'!$D$16))*$C197*E$172</f>
        <v>0</v>
      </c>
      <c r="F197" s="390">
        <f>((D139*(1-'5.Closing Stock &amp; W Capital'!$D$16))+(C139*'5.Closing Stock &amp; W Capital'!$D$16))*$C197*F$172</f>
        <v>0</v>
      </c>
      <c r="G197" s="390">
        <f>((E139*(1-'5.Closing Stock &amp; W Capital'!$D$16))+(D139*'5.Closing Stock &amp; W Capital'!$D$16))*$C197*G$172</f>
        <v>0</v>
      </c>
      <c r="H197" s="390">
        <f>((F139*(1-'5.Closing Stock &amp; W Capital'!$D$16))+(E139*'5.Closing Stock &amp; W Capital'!$D$16))*$C197*H$172</f>
        <v>0</v>
      </c>
      <c r="I197" s="390">
        <f>((G139*(1-'5.Closing Stock &amp; W Capital'!$D$16))+(F139*'5.Closing Stock &amp; W Capital'!$D$16))*$C197*I$172</f>
        <v>0</v>
      </c>
      <c r="J197" s="390">
        <f>((H139*(1-'5.Closing Stock &amp; W Capital'!$D$16))+(G139*'5.Closing Stock &amp; W Capital'!$D$16))*$C197*J$172</f>
        <v>0</v>
      </c>
    </row>
    <row r="198" spans="1:10">
      <c r="A198" s="357">
        <f t="shared" si="32"/>
        <v>0</v>
      </c>
      <c r="B198" s="329" t="s">
        <v>347</v>
      </c>
      <c r="C198" s="389"/>
      <c r="D198" s="390">
        <f>(B140*(1-'5.Closing Stock &amp; W Capital'!$D$16))*$C198*D$172</f>
        <v>0</v>
      </c>
      <c r="E198" s="390">
        <f>((C140*(1-'5.Closing Stock &amp; W Capital'!$D$16))+(B140*'5.Closing Stock &amp; W Capital'!$D$16))*$C198*E$172</f>
        <v>0</v>
      </c>
      <c r="F198" s="390">
        <f>((D140*(1-'5.Closing Stock &amp; W Capital'!$D$16))+(C140*'5.Closing Stock &amp; W Capital'!$D$16))*$C198*F$172</f>
        <v>0</v>
      </c>
      <c r="G198" s="390">
        <f>((E140*(1-'5.Closing Stock &amp; W Capital'!$D$16))+(D140*'5.Closing Stock &amp; W Capital'!$D$16))*$C198*G$172</f>
        <v>0</v>
      </c>
      <c r="H198" s="390">
        <f>((F140*(1-'5.Closing Stock &amp; W Capital'!$D$16))+(E140*'5.Closing Stock &amp; W Capital'!$D$16))*$C198*H$172</f>
        <v>0</v>
      </c>
      <c r="I198" s="390">
        <f>((G140*(1-'5.Closing Stock &amp; W Capital'!$D$16))+(F140*'5.Closing Stock &amp; W Capital'!$D$16))*$C198*I$172</f>
        <v>0</v>
      </c>
      <c r="J198" s="390">
        <f>((H140*(1-'5.Closing Stock &amp; W Capital'!$D$16))+(G140*'5.Closing Stock &amp; W Capital'!$D$16))*$C198*J$172</f>
        <v>0</v>
      </c>
    </row>
    <row r="199" spans="1:10">
      <c r="A199" s="329"/>
      <c r="B199" s="329" t="s">
        <v>347</v>
      </c>
      <c r="C199" s="389"/>
      <c r="D199" s="390">
        <f>(B141*(1-'5.Closing Stock &amp; W Capital'!$D$16))*$C199*D$172</f>
        <v>0</v>
      </c>
      <c r="E199" s="390">
        <f>((C141*(1-'5.Closing Stock &amp; W Capital'!$D$16))+(B141*'5.Closing Stock &amp; W Capital'!$D$16))*$C199*E$172</f>
        <v>0</v>
      </c>
      <c r="F199" s="390">
        <f>((D141*(1-'5.Closing Stock &amp; W Capital'!$D$16))+(C141*'5.Closing Stock &amp; W Capital'!$D$16))*$C199*F$172</f>
        <v>0</v>
      </c>
      <c r="G199" s="390">
        <f>((E141*(1-'5.Closing Stock &amp; W Capital'!$D$16))+(D141*'5.Closing Stock &amp; W Capital'!$D$16))*$C199*G$172</f>
        <v>0</v>
      </c>
      <c r="H199" s="390">
        <f>((F141*(1-'5.Closing Stock &amp; W Capital'!$D$16))+(E141*'5.Closing Stock &amp; W Capital'!$D$16))*$C199*H$172</f>
        <v>0</v>
      </c>
      <c r="I199" s="390">
        <f>((G141*(1-'5.Closing Stock &amp; W Capital'!$D$16))+(F141*'5.Closing Stock &amp; W Capital'!$D$16))*$C199*I$172</f>
        <v>0</v>
      </c>
      <c r="J199" s="390">
        <f>((H141*(1-'5.Closing Stock &amp; W Capital'!$D$16))+(G141*'5.Closing Stock &amp; W Capital'!$D$16))*$C199*J$172</f>
        <v>0</v>
      </c>
    </row>
    <row r="200" spans="1:10">
      <c r="A200" s="332" t="s">
        <v>286</v>
      </c>
      <c r="B200" s="329" t="s">
        <v>347</v>
      </c>
      <c r="C200" s="277"/>
      <c r="D200" s="392">
        <f t="shared" ref="D200:J200" si="33">B65*$C$200*D172</f>
        <v>0</v>
      </c>
      <c r="E200" s="392">
        <f t="shared" si="33"/>
        <v>0</v>
      </c>
      <c r="F200" s="392">
        <f t="shared" si="33"/>
        <v>0</v>
      </c>
      <c r="G200" s="392">
        <f t="shared" si="33"/>
        <v>0</v>
      </c>
      <c r="H200" s="392">
        <f t="shared" si="33"/>
        <v>0</v>
      </c>
      <c r="I200" s="392">
        <f t="shared" si="33"/>
        <v>0</v>
      </c>
      <c r="J200" s="392">
        <f t="shared" si="33"/>
        <v>0</v>
      </c>
    </row>
    <row r="201" spans="1:10">
      <c r="A201" s="332"/>
      <c r="B201" s="332"/>
      <c r="C201" s="332"/>
      <c r="D201" s="329"/>
      <c r="E201" s="329"/>
      <c r="F201" s="329"/>
      <c r="G201" s="329"/>
      <c r="H201" s="329"/>
      <c r="I201" s="329"/>
      <c r="J201" s="329"/>
    </row>
    <row r="202" spans="1:10">
      <c r="A202" s="332" t="str">
        <f t="shared" ref="A202:A220" si="34">A143</f>
        <v>Fruit  &amp; Vegetables Crop Production Details</v>
      </c>
      <c r="B202" s="332"/>
      <c r="C202" s="332"/>
      <c r="D202" s="329"/>
      <c r="E202" s="329"/>
      <c r="F202" s="329"/>
      <c r="G202" s="329"/>
      <c r="H202" s="329"/>
      <c r="I202" s="329"/>
      <c r="J202" s="329"/>
    </row>
    <row r="203" spans="1:10">
      <c r="A203" s="332" t="str">
        <f t="shared" si="34"/>
        <v>Onion</v>
      </c>
      <c r="B203" s="329" t="s">
        <v>347</v>
      </c>
      <c r="C203" s="391"/>
      <c r="D203" s="390">
        <f>(B144*(1-'5.Closing Stock &amp; W Capital'!$D$16))*$C203*D$172</f>
        <v>0</v>
      </c>
      <c r="E203" s="390">
        <f>((C144*(1-'5.Closing Stock &amp; W Capital'!$D$16))+(B144*'5.Closing Stock &amp; W Capital'!$D$16))*$C203*E$172</f>
        <v>0</v>
      </c>
      <c r="F203" s="390">
        <f>((D144*(1-'5.Closing Stock &amp; W Capital'!$D$16))+(C144*'5.Closing Stock &amp; W Capital'!$D$16))*$C203*F$172</f>
        <v>0</v>
      </c>
      <c r="G203" s="390">
        <f>((E144*(1-'5.Closing Stock &amp; W Capital'!$D$16))+(D144*'5.Closing Stock &amp; W Capital'!$D$16))*$C203*G$172</f>
        <v>0</v>
      </c>
      <c r="H203" s="390">
        <f>((F144*(1-'5.Closing Stock &amp; W Capital'!$D$16))+(E144*'5.Closing Stock &amp; W Capital'!$D$16))*$C203*H$172</f>
        <v>0</v>
      </c>
      <c r="I203" s="390">
        <f>((G144*(1-'5.Closing Stock &amp; W Capital'!$D$16))+(F144*'5.Closing Stock &amp; W Capital'!$D$16))*$C203*I$172</f>
        <v>0</v>
      </c>
      <c r="J203" s="390">
        <f>((H144*(1-'5.Closing Stock &amp; W Capital'!$D$16))+(G144*'5.Closing Stock &amp; W Capital'!$D$16))*$C203*J$172</f>
        <v>0</v>
      </c>
    </row>
    <row r="204" spans="1:10">
      <c r="A204" s="332" t="str">
        <f t="shared" si="34"/>
        <v>Tomato</v>
      </c>
      <c r="B204" s="329" t="s">
        <v>347</v>
      </c>
      <c r="C204" s="389"/>
      <c r="D204" s="390">
        <f>(B145*(1-'5.Closing Stock &amp; W Capital'!$D$16))*$C204*D$172</f>
        <v>0</v>
      </c>
      <c r="E204" s="390">
        <f>((C145*(1-'5.Closing Stock &amp; W Capital'!$D$16))+(B145*'5.Closing Stock &amp; W Capital'!$D$16))*$C204*E$172</f>
        <v>0</v>
      </c>
      <c r="F204" s="390">
        <f>((D145*(1-'5.Closing Stock &amp; W Capital'!$D$16))+(C145*'5.Closing Stock &amp; W Capital'!$D$16))*$C204*F$172</f>
        <v>0</v>
      </c>
      <c r="G204" s="390">
        <f>((E145*(1-'5.Closing Stock &amp; W Capital'!$D$16))+(D145*'5.Closing Stock &amp; W Capital'!$D$16))*$C204*G$172</f>
        <v>0</v>
      </c>
      <c r="H204" s="390">
        <f>((F145*(1-'5.Closing Stock &amp; W Capital'!$D$16))+(E145*'5.Closing Stock &amp; W Capital'!$D$16))*$C204*H$172</f>
        <v>0</v>
      </c>
      <c r="I204" s="390">
        <f>((G145*(1-'5.Closing Stock &amp; W Capital'!$D$16))+(F145*'5.Closing Stock &amp; W Capital'!$D$16))*$C204*I$172</f>
        <v>0</v>
      </c>
      <c r="J204" s="390">
        <f>((H145*(1-'5.Closing Stock &amp; W Capital'!$D$16))+(G145*'5.Closing Stock &amp; W Capital'!$D$16))*$C204*J$172</f>
        <v>0</v>
      </c>
    </row>
    <row r="205" spans="1:10">
      <c r="A205" s="332" t="str">
        <f t="shared" si="34"/>
        <v>Okra</v>
      </c>
      <c r="B205" s="329" t="s">
        <v>347</v>
      </c>
      <c r="C205" s="389"/>
      <c r="D205" s="390">
        <f>(B146*(1-'5.Closing Stock &amp; W Capital'!$D$16))*$C205*D$172</f>
        <v>0</v>
      </c>
      <c r="E205" s="390">
        <f>((C146*(1-'5.Closing Stock &amp; W Capital'!$D$16))+(B146*'5.Closing Stock &amp; W Capital'!$D$16))*$C205*E$172</f>
        <v>0</v>
      </c>
      <c r="F205" s="390">
        <f>((D146*(1-'5.Closing Stock &amp; W Capital'!$D$16))+(C146*'5.Closing Stock &amp; W Capital'!$D$16))*$C205*F$172</f>
        <v>0</v>
      </c>
      <c r="G205" s="390">
        <f>((E146*(1-'5.Closing Stock &amp; W Capital'!$D$16))+(D146*'5.Closing Stock &amp; W Capital'!$D$16))*$C205*G$172</f>
        <v>0</v>
      </c>
      <c r="H205" s="390">
        <f>((F146*(1-'5.Closing Stock &amp; W Capital'!$D$16))+(E146*'5.Closing Stock &amp; W Capital'!$D$16))*$C205*H$172</f>
        <v>0</v>
      </c>
      <c r="I205" s="390">
        <f>((G146*(1-'5.Closing Stock &amp; W Capital'!$D$16))+(F146*'5.Closing Stock &amp; W Capital'!$D$16))*$C205*I$172</f>
        <v>0</v>
      </c>
      <c r="J205" s="390">
        <f>((H146*(1-'5.Closing Stock &amp; W Capital'!$D$16))+(G146*'5.Closing Stock &amp; W Capital'!$D$16))*$C205*J$172</f>
        <v>0</v>
      </c>
    </row>
    <row r="206" spans="1:10">
      <c r="A206" s="332" t="str">
        <f t="shared" si="34"/>
        <v>Chilli</v>
      </c>
      <c r="B206" s="329" t="s">
        <v>347</v>
      </c>
      <c r="C206" s="389"/>
      <c r="D206" s="390">
        <f>(B147*(1-'5.Closing Stock &amp; W Capital'!$D$16))*$C206*D$172</f>
        <v>0</v>
      </c>
      <c r="E206" s="390">
        <f>((C147*(1-'5.Closing Stock &amp; W Capital'!$D$16))+(B147*'5.Closing Stock &amp; W Capital'!$D$16))*$C206*E$172</f>
        <v>0</v>
      </c>
      <c r="F206" s="390">
        <f>((D147*(1-'5.Closing Stock &amp; W Capital'!$D$16))+(C147*'5.Closing Stock &amp; W Capital'!$D$16))*$C206*F$172</f>
        <v>0</v>
      </c>
      <c r="G206" s="390">
        <f>((E147*(1-'5.Closing Stock &amp; W Capital'!$D$16))+(D147*'5.Closing Stock &amp; W Capital'!$D$16))*$C206*G$172</f>
        <v>0</v>
      </c>
      <c r="H206" s="390">
        <f>((F147*(1-'5.Closing Stock &amp; W Capital'!$D$16))+(E147*'5.Closing Stock &amp; W Capital'!$D$16))*$C206*H$172</f>
        <v>0</v>
      </c>
      <c r="I206" s="390">
        <f>((G147*(1-'5.Closing Stock &amp; W Capital'!$D$16))+(F147*'5.Closing Stock &amp; W Capital'!$D$16))*$C206*I$172</f>
        <v>0</v>
      </c>
      <c r="J206" s="390">
        <f>((H147*(1-'5.Closing Stock &amp; W Capital'!$D$16))+(G147*'5.Closing Stock &amp; W Capital'!$D$16))*$C206*J$172</f>
        <v>0</v>
      </c>
    </row>
    <row r="207" spans="1:10">
      <c r="A207" s="332" t="str">
        <f t="shared" si="34"/>
        <v>Potato</v>
      </c>
      <c r="B207" s="329" t="s">
        <v>347</v>
      </c>
      <c r="C207" s="389"/>
      <c r="D207" s="390">
        <f>(B148*(1-'5.Closing Stock &amp; W Capital'!$D$16))*$C207*D$172</f>
        <v>0</v>
      </c>
      <c r="E207" s="390">
        <f>((C148*(1-'5.Closing Stock &amp; W Capital'!$D$16))+(B148*'5.Closing Stock &amp; W Capital'!$D$16))*$C207*E$172</f>
        <v>0</v>
      </c>
      <c r="F207" s="390">
        <f>((D148*(1-'5.Closing Stock &amp; W Capital'!$D$16))+(C148*'5.Closing Stock &amp; W Capital'!$D$16))*$C207*F$172</f>
        <v>0</v>
      </c>
      <c r="G207" s="390">
        <f>((E148*(1-'5.Closing Stock &amp; W Capital'!$D$16))+(D148*'5.Closing Stock &amp; W Capital'!$D$16))*$C207*G$172</f>
        <v>0</v>
      </c>
      <c r="H207" s="390">
        <f>((F148*(1-'5.Closing Stock &amp; W Capital'!$D$16))+(E148*'5.Closing Stock &amp; W Capital'!$D$16))*$C207*H$172</f>
        <v>0</v>
      </c>
      <c r="I207" s="390">
        <f>((G148*(1-'5.Closing Stock &amp; W Capital'!$D$16))+(F148*'5.Closing Stock &amp; W Capital'!$D$16))*$C207*I$172</f>
        <v>0</v>
      </c>
      <c r="J207" s="390">
        <f>((H148*(1-'5.Closing Stock &amp; W Capital'!$D$16))+(G148*'5.Closing Stock &amp; W Capital'!$D$16))*$C207*J$172</f>
        <v>0</v>
      </c>
    </row>
    <row r="208" spans="1:10">
      <c r="A208" s="332">
        <f t="shared" si="34"/>
        <v>0</v>
      </c>
      <c r="B208" s="329" t="s">
        <v>347</v>
      </c>
      <c r="C208" s="277"/>
      <c r="D208" s="390">
        <f>(B149*(1-'5.Closing Stock &amp; W Capital'!$D$16))*$C208*D$172</f>
        <v>0</v>
      </c>
      <c r="E208" s="390">
        <f>((C149*(1-'5.Closing Stock &amp; W Capital'!$D$16))+(B149*'5.Closing Stock &amp; W Capital'!$D$16))*$C208*E$172</f>
        <v>0</v>
      </c>
      <c r="F208" s="390">
        <f>((D149*(1-'5.Closing Stock &amp; W Capital'!$D$16))+(C149*'5.Closing Stock &amp; W Capital'!$D$16))*$C208*F$172</f>
        <v>0</v>
      </c>
      <c r="G208" s="390">
        <f>((E149*(1-'5.Closing Stock &amp; W Capital'!$D$16))+(D149*'5.Closing Stock &amp; W Capital'!$D$16))*$C208*G$172</f>
        <v>0</v>
      </c>
      <c r="H208" s="390">
        <f>((F149*(1-'5.Closing Stock &amp; W Capital'!$D$16))+(E149*'5.Closing Stock &amp; W Capital'!$D$16))*$C208*H$172</f>
        <v>0</v>
      </c>
      <c r="I208" s="390">
        <f>((G149*(1-'5.Closing Stock &amp; W Capital'!$D$16))+(F149*'5.Closing Stock &amp; W Capital'!$D$16))*$C208*I$172</f>
        <v>0</v>
      </c>
      <c r="J208" s="390">
        <f>((H149*(1-'5.Closing Stock &amp; W Capital'!$D$16))+(G149*'5.Closing Stock &amp; W Capital'!$D$16))*$C208*J$172</f>
        <v>0</v>
      </c>
    </row>
    <row r="209" spans="1:10">
      <c r="A209" s="332">
        <f t="shared" si="34"/>
        <v>0</v>
      </c>
      <c r="B209" s="329" t="s">
        <v>347</v>
      </c>
      <c r="C209" s="277"/>
      <c r="D209" s="390">
        <f>(B150*(1-'5.Closing Stock &amp; W Capital'!$D$16))*$C209*D$172</f>
        <v>0</v>
      </c>
      <c r="E209" s="390">
        <f>((C150*(1-'5.Closing Stock &amp; W Capital'!$D$16))+(B150*'5.Closing Stock &amp; W Capital'!$D$16))*$C209*E$172</f>
        <v>0</v>
      </c>
      <c r="F209" s="390">
        <f>((D150*(1-'5.Closing Stock &amp; W Capital'!$D$16))+(C150*'5.Closing Stock &amp; W Capital'!$D$16))*$C209*F$172</f>
        <v>0</v>
      </c>
      <c r="G209" s="390">
        <f>((E150*(1-'5.Closing Stock &amp; W Capital'!$D$16))+(D150*'5.Closing Stock &amp; W Capital'!$D$16))*$C209*G$172</f>
        <v>0</v>
      </c>
      <c r="H209" s="390">
        <f>((F150*(1-'5.Closing Stock &amp; W Capital'!$D$16))+(E150*'5.Closing Stock &amp; W Capital'!$D$16))*$C209*H$172</f>
        <v>0</v>
      </c>
      <c r="I209" s="390">
        <f>((G150*(1-'5.Closing Stock &amp; W Capital'!$D$16))+(F150*'5.Closing Stock &amp; W Capital'!$D$16))*$C209*I$172</f>
        <v>0</v>
      </c>
      <c r="J209" s="390">
        <f>((H150*(1-'5.Closing Stock &amp; W Capital'!$D$16))+(G150*'5.Closing Stock &amp; W Capital'!$D$16))*$C209*J$172</f>
        <v>0</v>
      </c>
    </row>
    <row r="210" spans="1:10">
      <c r="A210" s="332">
        <f t="shared" si="34"/>
        <v>0</v>
      </c>
      <c r="B210" s="329" t="s">
        <v>347</v>
      </c>
      <c r="C210" s="277"/>
      <c r="D210" s="390">
        <f>(B151*(1-'5.Closing Stock &amp; W Capital'!$D$16))*$C210*D$172</f>
        <v>0</v>
      </c>
      <c r="E210" s="390">
        <f>((C151*(1-'5.Closing Stock &amp; W Capital'!$D$16))+(B151*'5.Closing Stock &amp; W Capital'!$D$16))*$C210*E$172</f>
        <v>0</v>
      </c>
      <c r="F210" s="390">
        <f>((D151*(1-'5.Closing Stock &amp; W Capital'!$D$16))+(C151*'5.Closing Stock &amp; W Capital'!$D$16))*$C210*F$172</f>
        <v>0</v>
      </c>
      <c r="G210" s="390">
        <f>((E151*(1-'5.Closing Stock &amp; W Capital'!$D$16))+(D151*'5.Closing Stock &amp; W Capital'!$D$16))*$C210*G$172</f>
        <v>0</v>
      </c>
      <c r="H210" s="390">
        <f>((F151*(1-'5.Closing Stock &amp; W Capital'!$D$16))+(E151*'5.Closing Stock &amp; W Capital'!$D$16))*$C210*H$172</f>
        <v>0</v>
      </c>
      <c r="I210" s="390">
        <f>((G151*(1-'5.Closing Stock &amp; W Capital'!$D$16))+(F151*'5.Closing Stock &amp; W Capital'!$D$16))*$C210*I$172</f>
        <v>0</v>
      </c>
      <c r="J210" s="390">
        <f>((H151*(1-'5.Closing Stock &amp; W Capital'!$D$16))+(G151*'5.Closing Stock &amp; W Capital'!$D$16))*$C210*J$172</f>
        <v>0</v>
      </c>
    </row>
    <row r="211" spans="1:10">
      <c r="A211" s="332">
        <f t="shared" si="34"/>
        <v>0</v>
      </c>
      <c r="B211" s="329" t="s">
        <v>347</v>
      </c>
      <c r="C211" s="277"/>
      <c r="D211" s="390">
        <f>(B152*(1-'5.Closing Stock &amp; W Capital'!$D$16))*$C211*D$172</f>
        <v>0</v>
      </c>
      <c r="E211" s="390">
        <f>((C152*(1-'5.Closing Stock &amp; W Capital'!$D$16))+(B152*'5.Closing Stock &amp; W Capital'!$D$16))*$C211*E$172</f>
        <v>0</v>
      </c>
      <c r="F211" s="390">
        <f>((D152*(1-'5.Closing Stock &amp; W Capital'!$D$16))+(C152*'5.Closing Stock &amp; W Capital'!$D$16))*$C211*F$172</f>
        <v>0</v>
      </c>
      <c r="G211" s="390">
        <f>((E152*(1-'5.Closing Stock &amp; W Capital'!$D$16))+(D152*'5.Closing Stock &amp; W Capital'!$D$16))*$C211*G$172</f>
        <v>0</v>
      </c>
      <c r="H211" s="390">
        <f>((F152*(1-'5.Closing Stock &amp; W Capital'!$D$16))+(E152*'5.Closing Stock &amp; W Capital'!$D$16))*$C211*H$172</f>
        <v>0</v>
      </c>
      <c r="I211" s="390">
        <f>((G152*(1-'5.Closing Stock &amp; W Capital'!$D$16))+(F152*'5.Closing Stock &amp; W Capital'!$D$16))*$C211*I$172</f>
        <v>0</v>
      </c>
      <c r="J211" s="390">
        <f>((H152*(1-'5.Closing Stock &amp; W Capital'!$D$16))+(G152*'5.Closing Stock &amp; W Capital'!$D$16))*$C211*J$172</f>
        <v>0</v>
      </c>
    </row>
    <row r="212" spans="1:10">
      <c r="A212" s="332" t="str">
        <f t="shared" si="34"/>
        <v>Onion</v>
      </c>
      <c r="B212" s="329" t="s">
        <v>347</v>
      </c>
      <c r="C212" s="389"/>
      <c r="D212" s="390">
        <f>(B153*(1-'5.Closing Stock &amp; W Capital'!$D$16))*$C212*D$172</f>
        <v>0</v>
      </c>
      <c r="E212" s="390">
        <f>((C153*(1-'5.Closing Stock &amp; W Capital'!$D$16))+(B153*'5.Closing Stock &amp; W Capital'!$D$16))*$C212*E$172</f>
        <v>0</v>
      </c>
      <c r="F212" s="390">
        <f>((D153*(1-'5.Closing Stock &amp; W Capital'!$D$16))+(C153*'5.Closing Stock &amp; W Capital'!$D$16))*$C212*F$172</f>
        <v>0</v>
      </c>
      <c r="G212" s="390">
        <f>((E153*(1-'5.Closing Stock &amp; W Capital'!$D$16))+(D153*'5.Closing Stock &amp; W Capital'!$D$16))*$C212*G$172</f>
        <v>0</v>
      </c>
      <c r="H212" s="390">
        <f>((F153*(1-'5.Closing Stock &amp; W Capital'!$D$16))+(E153*'5.Closing Stock &amp; W Capital'!$D$16))*$C212*H$172</f>
        <v>0</v>
      </c>
      <c r="I212" s="390">
        <f>((G153*(1-'5.Closing Stock &amp; W Capital'!$D$16))+(F153*'5.Closing Stock &amp; W Capital'!$D$16))*$C212*I$172</f>
        <v>0</v>
      </c>
      <c r="J212" s="390">
        <f>((H153*(1-'5.Closing Stock &amp; W Capital'!$D$16))+(G153*'5.Closing Stock &amp; W Capital'!$D$16))*$C212*J$172</f>
        <v>0</v>
      </c>
    </row>
    <row r="213" spans="1:10">
      <c r="A213" s="332" t="str">
        <f t="shared" si="34"/>
        <v>Tomato</v>
      </c>
      <c r="B213" s="329" t="s">
        <v>347</v>
      </c>
      <c r="C213" s="389"/>
      <c r="D213" s="390">
        <f>(B154*(1-'5.Closing Stock &amp; W Capital'!$D$16))*$C213*D$172</f>
        <v>0</v>
      </c>
      <c r="E213" s="390">
        <f>((C154*(1-'5.Closing Stock &amp; W Capital'!$D$16))+(B154*'5.Closing Stock &amp; W Capital'!$D$16))*$C213*E$172</f>
        <v>0</v>
      </c>
      <c r="F213" s="390">
        <f>((D154*(1-'5.Closing Stock &amp; W Capital'!$D$16))+(C154*'5.Closing Stock &amp; W Capital'!$D$16))*$C213*F$172</f>
        <v>0</v>
      </c>
      <c r="G213" s="390">
        <f>((E154*(1-'5.Closing Stock &amp; W Capital'!$D$16))+(D154*'5.Closing Stock &amp; W Capital'!$D$16))*$C213*G$172</f>
        <v>0</v>
      </c>
      <c r="H213" s="390">
        <f>((F154*(1-'5.Closing Stock &amp; W Capital'!$D$16))+(E154*'5.Closing Stock &amp; W Capital'!$D$16))*$C213*H$172</f>
        <v>0</v>
      </c>
      <c r="I213" s="390">
        <f>((G154*(1-'5.Closing Stock &amp; W Capital'!$D$16))+(F154*'5.Closing Stock &amp; W Capital'!$D$16))*$C213*I$172</f>
        <v>0</v>
      </c>
      <c r="J213" s="390">
        <f>((H154*(1-'5.Closing Stock &amp; W Capital'!$D$16))+(G154*'5.Closing Stock &amp; W Capital'!$D$16))*$C213*J$172</f>
        <v>0</v>
      </c>
    </row>
    <row r="214" spans="1:10">
      <c r="A214" s="332" t="str">
        <f t="shared" si="34"/>
        <v>Okra</v>
      </c>
      <c r="B214" s="329" t="s">
        <v>347</v>
      </c>
      <c r="C214" s="389"/>
      <c r="D214" s="390">
        <f>(B155*(1-'5.Closing Stock &amp; W Capital'!$D$16))*$C214*D$172</f>
        <v>0</v>
      </c>
      <c r="E214" s="390">
        <f>((C155*(1-'5.Closing Stock &amp; W Capital'!$D$16))+(B155*'5.Closing Stock &amp; W Capital'!$D$16))*$C214*E$172</f>
        <v>0</v>
      </c>
      <c r="F214" s="390">
        <f>((D155*(1-'5.Closing Stock &amp; W Capital'!$D$16))+(C155*'5.Closing Stock &amp; W Capital'!$D$16))*$C214*F$172</f>
        <v>0</v>
      </c>
      <c r="G214" s="390">
        <f>((E155*(1-'5.Closing Stock &amp; W Capital'!$D$16))+(D155*'5.Closing Stock &amp; W Capital'!$D$16))*$C214*G$172</f>
        <v>0</v>
      </c>
      <c r="H214" s="390">
        <f>((F155*(1-'5.Closing Stock &amp; W Capital'!$D$16))+(E155*'5.Closing Stock &amp; W Capital'!$D$16))*$C214*H$172</f>
        <v>0</v>
      </c>
      <c r="I214" s="390">
        <f>((G155*(1-'5.Closing Stock &amp; W Capital'!$D$16))+(F155*'5.Closing Stock &amp; W Capital'!$D$16))*$C214*I$172</f>
        <v>0</v>
      </c>
      <c r="J214" s="390">
        <f>((H155*(1-'5.Closing Stock &amp; W Capital'!$D$16))+(G155*'5.Closing Stock &amp; W Capital'!$D$16))*$C214*J$172</f>
        <v>0</v>
      </c>
    </row>
    <row r="215" spans="1:10">
      <c r="A215" s="332" t="str">
        <f t="shared" si="34"/>
        <v>Chilli</v>
      </c>
      <c r="B215" s="329" t="s">
        <v>347</v>
      </c>
      <c r="C215" s="389"/>
      <c r="D215" s="390">
        <f>(B156*(1-'5.Closing Stock &amp; W Capital'!$D$16))*$C215*D$172</f>
        <v>0</v>
      </c>
      <c r="E215" s="390">
        <f>((C156*(1-'5.Closing Stock &amp; W Capital'!$D$16))+(B156*'5.Closing Stock &amp; W Capital'!$D$16))*$C215*E$172</f>
        <v>0</v>
      </c>
      <c r="F215" s="390">
        <f>((D156*(1-'5.Closing Stock &amp; W Capital'!$D$16))+(C156*'5.Closing Stock &amp; W Capital'!$D$16))*$C215*F$172</f>
        <v>0</v>
      </c>
      <c r="G215" s="390">
        <f>((E156*(1-'5.Closing Stock &amp; W Capital'!$D$16))+(D156*'5.Closing Stock &amp; W Capital'!$D$16))*$C215*G$172</f>
        <v>0</v>
      </c>
      <c r="H215" s="390">
        <f>((F156*(1-'5.Closing Stock &amp; W Capital'!$D$16))+(E156*'5.Closing Stock &amp; W Capital'!$D$16))*$C215*H$172</f>
        <v>0</v>
      </c>
      <c r="I215" s="390">
        <f>((G156*(1-'5.Closing Stock &amp; W Capital'!$D$16))+(F156*'5.Closing Stock &amp; W Capital'!$D$16))*$C215*I$172</f>
        <v>0</v>
      </c>
      <c r="J215" s="390">
        <f>((H156*(1-'5.Closing Stock &amp; W Capital'!$D$16))+(G156*'5.Closing Stock &amp; W Capital'!$D$16))*$C215*J$172</f>
        <v>0</v>
      </c>
    </row>
    <row r="216" spans="1:10">
      <c r="A216" s="332" t="str">
        <f t="shared" si="34"/>
        <v>Brinjal</v>
      </c>
      <c r="B216" s="329" t="s">
        <v>347</v>
      </c>
      <c r="C216" s="389"/>
      <c r="D216" s="390">
        <f>(B157*(1-'5.Closing Stock &amp; W Capital'!$D$16))*$C216*D$172</f>
        <v>0</v>
      </c>
      <c r="E216" s="390">
        <f>((C157*(1-'5.Closing Stock &amp; W Capital'!$D$16))+(B157*'5.Closing Stock &amp; W Capital'!$D$16))*$C216*E$172</f>
        <v>0</v>
      </c>
      <c r="F216" s="390">
        <f>((D157*(1-'5.Closing Stock &amp; W Capital'!$D$16))+(C157*'5.Closing Stock &amp; W Capital'!$D$16))*$C216*F$172</f>
        <v>0</v>
      </c>
      <c r="G216" s="390">
        <f>((E157*(1-'5.Closing Stock &amp; W Capital'!$D$16))+(D157*'5.Closing Stock &amp; W Capital'!$D$16))*$C216*G$172</f>
        <v>0</v>
      </c>
      <c r="H216" s="390">
        <f>((F157*(1-'5.Closing Stock &amp; W Capital'!$D$16))+(E157*'5.Closing Stock &amp; W Capital'!$D$16))*$C216*H$172</f>
        <v>0</v>
      </c>
      <c r="I216" s="390">
        <f>((G157*(1-'5.Closing Stock &amp; W Capital'!$D$16))+(F157*'5.Closing Stock &amp; W Capital'!$D$16))*$C216*I$172</f>
        <v>0</v>
      </c>
      <c r="J216" s="390">
        <f>((H157*(1-'5.Closing Stock &amp; W Capital'!$D$16))+(G157*'5.Closing Stock &amp; W Capital'!$D$16))*$C216*J$172</f>
        <v>0</v>
      </c>
    </row>
    <row r="217" spans="1:10">
      <c r="A217" s="332">
        <f t="shared" si="34"/>
        <v>0</v>
      </c>
      <c r="B217" s="329" t="s">
        <v>347</v>
      </c>
      <c r="C217" s="389"/>
      <c r="D217" s="390">
        <f>(B158*(1-'5.Closing Stock &amp; W Capital'!$D$16))*$C217*D$172</f>
        <v>0</v>
      </c>
      <c r="E217" s="390">
        <f>((C158*(1-'5.Closing Stock &amp; W Capital'!$D$16))+(B158*'5.Closing Stock &amp; W Capital'!$D$16))*$C217*E$172</f>
        <v>0</v>
      </c>
      <c r="F217" s="390">
        <f>((D158*(1-'5.Closing Stock &amp; W Capital'!$D$16))+(C158*'5.Closing Stock &amp; W Capital'!$D$16))*$C217*F$172</f>
        <v>0</v>
      </c>
      <c r="G217" s="390">
        <f>((E158*(1-'5.Closing Stock &amp; W Capital'!$D$16))+(D158*'5.Closing Stock &amp; W Capital'!$D$16))*$C217*G$172</f>
        <v>0</v>
      </c>
      <c r="H217" s="390">
        <f>((F158*(1-'5.Closing Stock &amp; W Capital'!$D$16))+(E158*'5.Closing Stock &amp; W Capital'!$D$16))*$C217*H$172</f>
        <v>0</v>
      </c>
      <c r="I217" s="390">
        <f>((G158*(1-'5.Closing Stock &amp; W Capital'!$D$16))+(F158*'5.Closing Stock &amp; W Capital'!$D$16))*$C217*I$172</f>
        <v>0</v>
      </c>
      <c r="J217" s="390">
        <f>((H158*(1-'5.Closing Stock &amp; W Capital'!$D$16))+(G158*'5.Closing Stock &amp; W Capital'!$D$16))*$C217*J$172</f>
        <v>0</v>
      </c>
    </row>
    <row r="218" spans="1:10">
      <c r="A218" s="332">
        <f t="shared" si="34"/>
        <v>0</v>
      </c>
      <c r="B218" s="329" t="s">
        <v>347</v>
      </c>
      <c r="C218" s="389"/>
      <c r="D218" s="390">
        <f>(B159*(1-'5.Closing Stock &amp; W Capital'!$D$16))*$C218*D$172</f>
        <v>0</v>
      </c>
      <c r="E218" s="390">
        <f>((C159*(1-'5.Closing Stock &amp; W Capital'!$D$16))+(B159*'5.Closing Stock &amp; W Capital'!$D$16))*$C218*E$172</f>
        <v>0</v>
      </c>
      <c r="F218" s="390">
        <f>((D159*(1-'5.Closing Stock &amp; W Capital'!$D$16))+(C159*'5.Closing Stock &amp; W Capital'!$D$16))*$C218*F$172</f>
        <v>0</v>
      </c>
      <c r="G218" s="390">
        <f>((E159*(1-'5.Closing Stock &amp; W Capital'!$D$16))+(D159*'5.Closing Stock &amp; W Capital'!$D$16))*$C218*G$172</f>
        <v>0</v>
      </c>
      <c r="H218" s="390">
        <f>((F159*(1-'5.Closing Stock &amp; W Capital'!$D$16))+(E159*'5.Closing Stock &amp; W Capital'!$D$16))*$C218*H$172</f>
        <v>0</v>
      </c>
      <c r="I218" s="390">
        <f>((G159*(1-'5.Closing Stock &amp; W Capital'!$D$16))+(F159*'5.Closing Stock &amp; W Capital'!$D$16))*$C218*I$172</f>
        <v>0</v>
      </c>
      <c r="J218" s="390">
        <f>((H159*(1-'5.Closing Stock &amp; W Capital'!$D$16))+(G159*'5.Closing Stock &amp; W Capital'!$D$16))*$C218*J$172</f>
        <v>0</v>
      </c>
    </row>
    <row r="219" spans="1:10">
      <c r="A219" s="332">
        <f t="shared" si="34"/>
        <v>0</v>
      </c>
      <c r="B219" s="329" t="s">
        <v>347</v>
      </c>
      <c r="C219" s="389"/>
      <c r="D219" s="390">
        <f>(B160*(1-'5.Closing Stock &amp; W Capital'!$D$16))*$C219*D$172</f>
        <v>0</v>
      </c>
      <c r="E219" s="390">
        <f>((C160*(1-'5.Closing Stock &amp; W Capital'!$D$16))+(B160*'5.Closing Stock &amp; W Capital'!$D$16))*$C219*E$172</f>
        <v>0</v>
      </c>
      <c r="F219" s="390">
        <f>((D160*(1-'5.Closing Stock &amp; W Capital'!$D$16))+(C160*'5.Closing Stock &amp; W Capital'!$D$16))*$C219*F$172</f>
        <v>0</v>
      </c>
      <c r="G219" s="390">
        <f>((E160*(1-'5.Closing Stock &amp; W Capital'!$D$16))+(D160*'5.Closing Stock &amp; W Capital'!$D$16))*$C219*G$172</f>
        <v>0</v>
      </c>
      <c r="H219" s="390">
        <f>((F160*(1-'5.Closing Stock &amp; W Capital'!$D$16))+(E160*'5.Closing Stock &amp; W Capital'!$D$16))*$C219*H$172</f>
        <v>0</v>
      </c>
      <c r="I219" s="390">
        <f>((G160*(1-'5.Closing Stock &amp; W Capital'!$D$16))+(F160*'5.Closing Stock &amp; W Capital'!$D$16))*$C219*I$172</f>
        <v>0</v>
      </c>
      <c r="J219" s="390">
        <f>((H160*(1-'5.Closing Stock &amp; W Capital'!$D$16))+(G160*'5.Closing Stock &amp; W Capital'!$D$16))*$C219*J$172</f>
        <v>0</v>
      </c>
    </row>
    <row r="220" spans="1:10">
      <c r="A220" s="332">
        <f t="shared" si="34"/>
        <v>0</v>
      </c>
      <c r="B220" s="329" t="s">
        <v>347</v>
      </c>
      <c r="C220" s="389"/>
      <c r="D220" s="390">
        <f>(B161*(1-'5.Closing Stock &amp; W Capital'!$D$16))*$C220*D$172</f>
        <v>0</v>
      </c>
      <c r="E220" s="390">
        <f>((C161*(1-'5.Closing Stock &amp; W Capital'!$D$16))+(B161*'5.Closing Stock &amp; W Capital'!$D$16))*$C220*E$172</f>
        <v>0</v>
      </c>
      <c r="F220" s="390">
        <f>((D161*(1-'5.Closing Stock &amp; W Capital'!$D$16))+(C161*'5.Closing Stock &amp; W Capital'!$D$16))*$C220*F$172</f>
        <v>0</v>
      </c>
      <c r="G220" s="390">
        <f>((E161*(1-'5.Closing Stock &amp; W Capital'!$D$16))+(D161*'5.Closing Stock &amp; W Capital'!$D$16))*$C220*G$172</f>
        <v>0</v>
      </c>
      <c r="H220" s="390">
        <f>((F161*(1-'5.Closing Stock &amp; W Capital'!$D$16))+(E161*'5.Closing Stock &amp; W Capital'!$D$16))*$C220*H$172</f>
        <v>0</v>
      </c>
      <c r="I220" s="390">
        <f>((G161*(1-'5.Closing Stock &amp; W Capital'!$D$16))+(F161*'5.Closing Stock &amp; W Capital'!$D$16))*$C220*I$172</f>
        <v>0</v>
      </c>
      <c r="J220" s="390">
        <f>((H161*(1-'5.Closing Stock &amp; W Capital'!$D$16))+(G161*'5.Closing Stock &amp; W Capital'!$D$16))*$C220*J$172</f>
        <v>0</v>
      </c>
    </row>
    <row r="221" spans="1:10">
      <c r="A221" s="332">
        <f t="shared" ref="A221:A223" si="35">A162</f>
        <v>0</v>
      </c>
      <c r="B221" s="329" t="s">
        <v>347</v>
      </c>
      <c r="C221" s="389"/>
      <c r="D221" s="390">
        <f>(B162*(1-'5.Closing Stock &amp; W Capital'!$D$16))*$C221*D$172</f>
        <v>0</v>
      </c>
      <c r="E221" s="390">
        <f>((C162*(1-'5.Closing Stock &amp; W Capital'!$D$16))+(B162*'5.Closing Stock &amp; W Capital'!$D$16))*$C221*E$172</f>
        <v>0</v>
      </c>
      <c r="F221" s="390">
        <f>((D162*(1-'5.Closing Stock &amp; W Capital'!$D$16))+(C162*'5.Closing Stock &amp; W Capital'!$D$16))*$C221*F$172</f>
        <v>0</v>
      </c>
      <c r="G221" s="390">
        <f>((E162*(1-'5.Closing Stock &amp; W Capital'!$D$16))+(D162*'5.Closing Stock &amp; W Capital'!$D$16))*$C221*G$172</f>
        <v>0</v>
      </c>
      <c r="H221" s="390">
        <f>((F162*(1-'5.Closing Stock &amp; W Capital'!$D$16))+(E162*'5.Closing Stock &amp; W Capital'!$D$16))*$C221*H$172</f>
        <v>0</v>
      </c>
      <c r="I221" s="390">
        <f>((G162*(1-'5.Closing Stock &amp; W Capital'!$D$16))+(F162*'5.Closing Stock &amp; W Capital'!$D$16))*$C221*I$172</f>
        <v>0</v>
      </c>
      <c r="J221" s="390">
        <f>((H162*(1-'5.Closing Stock &amp; W Capital'!$D$16))+(G162*'5.Closing Stock &amp; W Capital'!$D$16))*$C221*J$172</f>
        <v>0</v>
      </c>
    </row>
    <row r="222" spans="1:10">
      <c r="A222" s="332">
        <f t="shared" si="35"/>
        <v>0</v>
      </c>
      <c r="B222" s="329" t="s">
        <v>347</v>
      </c>
      <c r="C222" s="389"/>
      <c r="D222" s="390">
        <f>(B163*(1-'5.Closing Stock &amp; W Capital'!$D$16))*$C222*D$172</f>
        <v>0</v>
      </c>
      <c r="E222" s="390">
        <f>((C163*(1-'5.Closing Stock &amp; W Capital'!$D$16))+(B163*'5.Closing Stock &amp; W Capital'!$D$16))*$C222*E$172</f>
        <v>0</v>
      </c>
      <c r="F222" s="390">
        <f>((D163*(1-'5.Closing Stock &amp; W Capital'!$D$16))+(C163*'5.Closing Stock &amp; W Capital'!$D$16))*$C222*F$172</f>
        <v>0</v>
      </c>
      <c r="G222" s="390">
        <f>((E163*(1-'5.Closing Stock &amp; W Capital'!$D$16))+(D163*'5.Closing Stock &amp; W Capital'!$D$16))*$C222*G$172</f>
        <v>0</v>
      </c>
      <c r="H222" s="390">
        <f>((F163*(1-'5.Closing Stock &amp; W Capital'!$D$16))+(E163*'5.Closing Stock &amp; W Capital'!$D$16))*$C222*H$172</f>
        <v>0</v>
      </c>
      <c r="I222" s="390">
        <f>((G163*(1-'5.Closing Stock &amp; W Capital'!$D$16))+(F163*'5.Closing Stock &amp; W Capital'!$D$16))*$C222*I$172</f>
        <v>0</v>
      </c>
      <c r="J222" s="390">
        <f>((H163*(1-'5.Closing Stock &amp; W Capital'!$D$16))+(G163*'5.Closing Stock &amp; W Capital'!$D$16))*$C222*J$172</f>
        <v>0</v>
      </c>
    </row>
    <row r="223" spans="1:10">
      <c r="A223" s="332">
        <f t="shared" si="35"/>
        <v>0</v>
      </c>
      <c r="B223" s="329" t="s">
        <v>347</v>
      </c>
      <c r="C223" s="389"/>
      <c r="D223" s="390">
        <f>(B164*(1-'5.Closing Stock &amp; W Capital'!$D$16))*$C223*D$172</f>
        <v>0</v>
      </c>
      <c r="E223" s="390">
        <f>((C164*(1-'5.Closing Stock &amp; W Capital'!$D$16))+(B164*'5.Closing Stock &amp; W Capital'!$D$16))*$C223*E$172</f>
        <v>0</v>
      </c>
      <c r="F223" s="390">
        <f>((D164*(1-'5.Closing Stock &amp; W Capital'!$D$16))+(C164*'5.Closing Stock &amp; W Capital'!$D$16))*$C223*F$172</f>
        <v>0</v>
      </c>
      <c r="G223" s="390">
        <f>((E164*(1-'5.Closing Stock &amp; W Capital'!$D$16))+(D164*'5.Closing Stock &amp; W Capital'!$D$16))*$C223*G$172</f>
        <v>0</v>
      </c>
      <c r="H223" s="390">
        <f>((F164*(1-'5.Closing Stock &amp; W Capital'!$D$16))+(E164*'5.Closing Stock &amp; W Capital'!$D$16))*$C223*H$172</f>
        <v>0</v>
      </c>
      <c r="I223" s="390">
        <f>((G164*(1-'5.Closing Stock &amp; W Capital'!$D$16))+(F164*'5.Closing Stock &amp; W Capital'!$D$16))*$C223*I$172</f>
        <v>0</v>
      </c>
      <c r="J223" s="390">
        <f>((H164*(1-'5.Closing Stock &amp; W Capital'!$D$16))+(G164*'5.Closing Stock &amp; W Capital'!$D$16))*$C223*J$172</f>
        <v>0</v>
      </c>
    </row>
    <row r="224" spans="1:10">
      <c r="A224" s="332" t="str">
        <f t="shared" ref="A224:A227" si="36">A165</f>
        <v>Pomegranate</v>
      </c>
      <c r="B224" s="329" t="s">
        <v>347</v>
      </c>
      <c r="C224" s="389"/>
      <c r="D224" s="390">
        <f>(B165*(1-'5.Closing Stock &amp; W Capital'!$D$16))*$C224*D$172</f>
        <v>0</v>
      </c>
      <c r="E224" s="390">
        <f>((C165*(1-'5.Closing Stock &amp; W Capital'!$D$16))+(B165*'5.Closing Stock &amp; W Capital'!$D$16))*$C224*E$172</f>
        <v>0</v>
      </c>
      <c r="F224" s="390">
        <f>((D165*(1-'5.Closing Stock &amp; W Capital'!$D$16))+(C165*'5.Closing Stock &amp; W Capital'!$D$16))*$C224*F$172</f>
        <v>0</v>
      </c>
      <c r="G224" s="390">
        <f>((E165*(1-'5.Closing Stock &amp; W Capital'!$D$16))+(D165*'5.Closing Stock &amp; W Capital'!$D$16))*$C224*G$172</f>
        <v>0</v>
      </c>
      <c r="H224" s="390">
        <f>((F165*(1-'5.Closing Stock &amp; W Capital'!$D$16))+(E165*'5.Closing Stock &amp; W Capital'!$D$16))*$C224*H$172</f>
        <v>0</v>
      </c>
      <c r="I224" s="390">
        <f>((G165*(1-'5.Closing Stock &amp; W Capital'!$D$16))+(F165*'5.Closing Stock &amp; W Capital'!$D$16))*$C224*I$172</f>
        <v>0</v>
      </c>
      <c r="J224" s="390">
        <f>((H165*(1-'5.Closing Stock &amp; W Capital'!$D$16))+(G165*'5.Closing Stock &amp; W Capital'!$D$16))*$C224*J$172</f>
        <v>0</v>
      </c>
    </row>
    <row r="225" spans="1:10">
      <c r="A225" s="332" t="str">
        <f t="shared" si="36"/>
        <v>Custard Apple</v>
      </c>
      <c r="B225" s="329" t="s">
        <v>347</v>
      </c>
      <c r="C225" s="389"/>
      <c r="D225" s="390">
        <f>(B166*(1-'5.Closing Stock &amp; W Capital'!$D$16))*$C225*D$172</f>
        <v>0</v>
      </c>
      <c r="E225" s="390">
        <f>((C166*(1-'5.Closing Stock &amp; W Capital'!$D$16))+(B166*'5.Closing Stock &amp; W Capital'!$D$16))*$C225*E$172</f>
        <v>0</v>
      </c>
      <c r="F225" s="390">
        <f>((D166*(1-'5.Closing Stock &amp; W Capital'!$D$16))+(C166*'5.Closing Stock &amp; W Capital'!$D$16))*$C225*F$172</f>
        <v>0</v>
      </c>
      <c r="G225" s="390">
        <f>((E166*(1-'5.Closing Stock &amp; W Capital'!$D$16))+(D166*'5.Closing Stock &amp; W Capital'!$D$16))*$C225*G$172</f>
        <v>0</v>
      </c>
      <c r="H225" s="390">
        <f>((F166*(1-'5.Closing Stock &amp; W Capital'!$D$16))+(E166*'5.Closing Stock &amp; W Capital'!$D$16))*$C225*H$172</f>
        <v>0</v>
      </c>
      <c r="I225" s="390">
        <f>((G166*(1-'5.Closing Stock &amp; W Capital'!$D$16))+(F166*'5.Closing Stock &amp; W Capital'!$D$16))*$C225*I$172</f>
        <v>0</v>
      </c>
      <c r="J225" s="390">
        <f>((H166*(1-'5.Closing Stock &amp; W Capital'!$D$16))+(G166*'5.Closing Stock &amp; W Capital'!$D$16))*$C225*J$172</f>
        <v>0</v>
      </c>
    </row>
    <row r="226" spans="1:10">
      <c r="A226" s="332" t="str">
        <f t="shared" si="36"/>
        <v>Guava</v>
      </c>
      <c r="B226" s="329" t="s">
        <v>347</v>
      </c>
      <c r="C226" s="389"/>
      <c r="D226" s="390">
        <f>(B167*(1-'5.Closing Stock &amp; W Capital'!$D$16))*$C226*D$172</f>
        <v>0</v>
      </c>
      <c r="E226" s="390">
        <f>((C167*(1-'5.Closing Stock &amp; W Capital'!$D$16))+(B167*'5.Closing Stock &amp; W Capital'!$D$16))*$C226*E$172</f>
        <v>0</v>
      </c>
      <c r="F226" s="390">
        <f>((D167*(1-'5.Closing Stock &amp; W Capital'!$D$16))+(C167*'5.Closing Stock &amp; W Capital'!$D$16))*$C226*F$172</f>
        <v>0</v>
      </c>
      <c r="G226" s="390">
        <f>((E167*(1-'5.Closing Stock &amp; W Capital'!$D$16))+(D167*'5.Closing Stock &amp; W Capital'!$D$16))*$C226*G$172</f>
        <v>0</v>
      </c>
      <c r="H226" s="390">
        <f>((F167*(1-'5.Closing Stock &amp; W Capital'!$D$16))+(E167*'5.Closing Stock &amp; W Capital'!$D$16))*$C226*H$172</f>
        <v>0</v>
      </c>
      <c r="I226" s="390">
        <f>((G167*(1-'5.Closing Stock &amp; W Capital'!$D$16))+(F167*'5.Closing Stock &amp; W Capital'!$D$16))*$C226*I$172</f>
        <v>0</v>
      </c>
      <c r="J226" s="390">
        <f>((H167*(1-'5.Closing Stock &amp; W Capital'!$D$16))+(G167*'5.Closing Stock &amp; W Capital'!$D$16))*$C226*J$172</f>
        <v>0</v>
      </c>
    </row>
    <row r="227" spans="1:10">
      <c r="A227" s="332" t="str">
        <f t="shared" si="36"/>
        <v>Citrus</v>
      </c>
      <c r="B227" s="329" t="s">
        <v>347</v>
      </c>
      <c r="C227" s="389"/>
      <c r="D227" s="390">
        <f>(B168*(1-'5.Closing Stock &amp; W Capital'!$D$16))*$C227*D$172</f>
        <v>0</v>
      </c>
      <c r="E227" s="390">
        <f>((C168*(1-'5.Closing Stock &amp; W Capital'!$D$16))+(B168*'5.Closing Stock &amp; W Capital'!$D$16))*$C227*E$172</f>
        <v>0</v>
      </c>
      <c r="F227" s="390">
        <f>((D168*(1-'5.Closing Stock &amp; W Capital'!$D$16))+(C168*'5.Closing Stock &amp; W Capital'!$D$16))*$C227*F$172</f>
        <v>0</v>
      </c>
      <c r="G227" s="390">
        <f>((E168*(1-'5.Closing Stock &amp; W Capital'!$D$16))+(D168*'5.Closing Stock &amp; W Capital'!$D$16))*$C227*G$172</f>
        <v>0</v>
      </c>
      <c r="H227" s="390">
        <f>((F168*(1-'5.Closing Stock &amp; W Capital'!$D$16))+(E168*'5.Closing Stock &amp; W Capital'!$D$16))*$C227*H$172</f>
        <v>0</v>
      </c>
      <c r="I227" s="390">
        <f>((G168*(1-'5.Closing Stock &amp; W Capital'!$D$16))+(F168*'5.Closing Stock &amp; W Capital'!$D$16))*$C227*I$172</f>
        <v>0</v>
      </c>
      <c r="J227" s="390">
        <f>((H168*(1-'5.Closing Stock &amp; W Capital'!$D$16))+(G168*'5.Closing Stock &amp; W Capital'!$D$16))*$C227*J$172</f>
        <v>0</v>
      </c>
    </row>
    <row r="228" spans="1:10">
      <c r="A228" s="332"/>
      <c r="B228" s="332"/>
      <c r="C228" s="332"/>
      <c r="D228" s="329"/>
      <c r="E228" s="329"/>
      <c r="F228" s="329"/>
      <c r="G228" s="329"/>
      <c r="H228" s="329"/>
      <c r="I228" s="329"/>
      <c r="J228" s="329"/>
    </row>
    <row r="229" spans="1:10">
      <c r="A229" s="361" t="s">
        <v>142</v>
      </c>
      <c r="B229" s="361"/>
      <c r="C229" s="361"/>
      <c r="D229" s="406">
        <f t="shared" ref="D229:J229" si="37">SUM(D178:D228)</f>
        <v>55908811.900124982</v>
      </c>
      <c r="E229" s="406">
        <f t="shared" si="37"/>
        <v>64883647.494618751</v>
      </c>
      <c r="F229" s="406">
        <f t="shared" si="37"/>
        <v>71542758.684855938</v>
      </c>
      <c r="G229" s="406">
        <f t="shared" si="37"/>
        <v>78705571.875380307</v>
      </c>
      <c r="H229" s="406">
        <f t="shared" si="37"/>
        <v>86405809.488244981</v>
      </c>
      <c r="I229" s="406">
        <f t="shared" si="37"/>
        <v>94679306.932707638</v>
      </c>
      <c r="J229" s="406">
        <f t="shared" si="37"/>
        <v>103564139.59789598</v>
      </c>
    </row>
    <row r="230" spans="1:10">
      <c r="A230" s="329"/>
      <c r="B230" s="329"/>
      <c r="C230" s="329"/>
      <c r="D230" s="329"/>
      <c r="E230" s="329"/>
      <c r="F230" s="329"/>
      <c r="G230" s="329"/>
      <c r="H230" s="329"/>
      <c r="I230" s="329"/>
      <c r="J230" s="329"/>
    </row>
    <row r="231" spans="1:10">
      <c r="A231" s="332" t="s">
        <v>141</v>
      </c>
      <c r="B231" s="332"/>
      <c r="C231" s="332"/>
      <c r="D231" s="329"/>
      <c r="E231" s="329"/>
      <c r="F231" s="329"/>
      <c r="G231" s="329"/>
      <c r="H231" s="329"/>
      <c r="I231" s="329"/>
      <c r="J231" s="329"/>
    </row>
    <row r="232" spans="1:10">
      <c r="A232" s="332" t="s">
        <v>304</v>
      </c>
      <c r="B232" s="332"/>
      <c r="C232" s="329"/>
      <c r="D232" s="329"/>
      <c r="E232" s="329"/>
      <c r="F232" s="329"/>
      <c r="G232" s="329"/>
      <c r="H232" s="329"/>
      <c r="I232" s="329"/>
      <c r="J232" s="329"/>
    </row>
    <row r="233" spans="1:10">
      <c r="A233" s="298" t="str">
        <f t="shared" ref="A233:A254" si="38">A178</f>
        <v>Maize (Kharif)</v>
      </c>
      <c r="B233" s="329" t="s">
        <v>347</v>
      </c>
      <c r="C233" s="389">
        <v>1400</v>
      </c>
      <c r="D233" s="359">
        <f>B68*$C$233*D$172</f>
        <v>9935100</v>
      </c>
      <c r="E233" s="359">
        <f>C68*$C$233*E$172</f>
        <v>10980900</v>
      </c>
      <c r="F233" s="359">
        <f>D68*$C$233*F172</f>
        <v>12106442.25</v>
      </c>
      <c r="G233" s="359">
        <f>E68*$C$233*G172</f>
        <v>13317086.475000001</v>
      </c>
      <c r="H233" s="359">
        <f>F68*$C$233*H172</f>
        <v>14618529.016875003</v>
      </c>
      <c r="I233" s="359">
        <f>G68*$C$233*I172</f>
        <v>16016823.096750004</v>
      </c>
      <c r="J233" s="359">
        <f>H68*$C$233*J172</f>
        <v>17518400.262070317</v>
      </c>
    </row>
    <row r="234" spans="1:10">
      <c r="A234" s="329" t="str">
        <f t="shared" si="38"/>
        <v>Red Gram/Tur</v>
      </c>
      <c r="B234" s="329" t="s">
        <v>347</v>
      </c>
      <c r="C234" s="393"/>
      <c r="D234" s="358">
        <f>B69*$C$234*D$172</f>
        <v>0</v>
      </c>
      <c r="E234" s="358">
        <f t="shared" ref="E234:J234" si="39">C69*$C$234*E172</f>
        <v>0</v>
      </c>
      <c r="F234" s="358">
        <f t="shared" si="39"/>
        <v>0</v>
      </c>
      <c r="G234" s="358">
        <f t="shared" si="39"/>
        <v>0</v>
      </c>
      <c r="H234" s="358">
        <f t="shared" si="39"/>
        <v>0</v>
      </c>
      <c r="I234" s="358">
        <f t="shared" si="39"/>
        <v>0</v>
      </c>
      <c r="J234" s="358">
        <f t="shared" si="39"/>
        <v>0</v>
      </c>
    </row>
    <row r="235" spans="1:10">
      <c r="A235" s="329" t="str">
        <f t="shared" si="38"/>
        <v>Paddy/Rice</v>
      </c>
      <c r="B235" s="329" t="s">
        <v>347</v>
      </c>
      <c r="C235" s="393"/>
      <c r="D235" s="358">
        <f>B70*$C$235*D$172</f>
        <v>0</v>
      </c>
      <c r="E235" s="358">
        <f t="shared" ref="E235:J235" si="40">C70*$C$235*E172</f>
        <v>0</v>
      </c>
      <c r="F235" s="358">
        <f t="shared" si="40"/>
        <v>0</v>
      </c>
      <c r="G235" s="358">
        <f t="shared" si="40"/>
        <v>0</v>
      </c>
      <c r="H235" s="358">
        <f t="shared" si="40"/>
        <v>0</v>
      </c>
      <c r="I235" s="358">
        <f t="shared" si="40"/>
        <v>0</v>
      </c>
      <c r="J235" s="358">
        <f t="shared" si="40"/>
        <v>0</v>
      </c>
    </row>
    <row r="236" spans="1:10">
      <c r="A236" s="329" t="str">
        <f t="shared" si="38"/>
        <v>Green Gram/ Moong</v>
      </c>
      <c r="B236" s="329" t="s">
        <v>347</v>
      </c>
      <c r="C236" s="393"/>
      <c r="D236" s="358">
        <f t="shared" ref="D236:J236" si="41">B71*$C$236*D$172</f>
        <v>0</v>
      </c>
      <c r="E236" s="358">
        <f t="shared" si="41"/>
        <v>0</v>
      </c>
      <c r="F236" s="358">
        <f t="shared" si="41"/>
        <v>0</v>
      </c>
      <c r="G236" s="358">
        <f t="shared" si="41"/>
        <v>0</v>
      </c>
      <c r="H236" s="358">
        <f t="shared" si="41"/>
        <v>0</v>
      </c>
      <c r="I236" s="358">
        <f t="shared" si="41"/>
        <v>0</v>
      </c>
      <c r="J236" s="358">
        <f t="shared" si="41"/>
        <v>0</v>
      </c>
    </row>
    <row r="237" spans="1:10">
      <c r="A237" s="329" t="str">
        <f t="shared" si="38"/>
        <v>Soyabean</v>
      </c>
      <c r="B237" s="329" t="s">
        <v>347</v>
      </c>
      <c r="C237" s="393"/>
      <c r="D237" s="358">
        <f t="shared" ref="D237:J237" si="42">B72*$C$237*D$172</f>
        <v>0</v>
      </c>
      <c r="E237" s="358">
        <f t="shared" si="42"/>
        <v>0</v>
      </c>
      <c r="F237" s="358">
        <f t="shared" si="42"/>
        <v>0</v>
      </c>
      <c r="G237" s="358">
        <f t="shared" si="42"/>
        <v>0</v>
      </c>
      <c r="H237" s="358">
        <f t="shared" si="42"/>
        <v>0</v>
      </c>
      <c r="I237" s="358">
        <f t="shared" si="42"/>
        <v>0</v>
      </c>
      <c r="J237" s="358">
        <f t="shared" si="42"/>
        <v>0</v>
      </c>
    </row>
    <row r="238" spans="1:10">
      <c r="A238" s="329" t="str">
        <f t="shared" si="38"/>
        <v>Black Gram/Udid</v>
      </c>
      <c r="B238" s="329" t="s">
        <v>347</v>
      </c>
      <c r="C238" s="393"/>
      <c r="D238" s="358">
        <f t="shared" ref="D238:J238" si="43">B73*$C$238*D$172</f>
        <v>0</v>
      </c>
      <c r="E238" s="358">
        <f t="shared" si="43"/>
        <v>0</v>
      </c>
      <c r="F238" s="358">
        <f t="shared" si="43"/>
        <v>0</v>
      </c>
      <c r="G238" s="358">
        <f t="shared" si="43"/>
        <v>0</v>
      </c>
      <c r="H238" s="358">
        <f t="shared" si="43"/>
        <v>0</v>
      </c>
      <c r="I238" s="358">
        <f t="shared" si="43"/>
        <v>0</v>
      </c>
      <c r="J238" s="358">
        <f t="shared" si="43"/>
        <v>0</v>
      </c>
    </row>
    <row r="239" spans="1:10">
      <c r="A239" s="298" t="str">
        <f t="shared" si="38"/>
        <v>Bajra (Kharif)</v>
      </c>
      <c r="B239" s="329" t="s">
        <v>347</v>
      </c>
      <c r="C239" s="389">
        <v>2300</v>
      </c>
      <c r="D239" s="358">
        <f t="shared" ref="D239:J239" si="44">B74*$C$239*D$172</f>
        <v>4896585</v>
      </c>
      <c r="E239" s="358">
        <f t="shared" si="44"/>
        <v>5412015</v>
      </c>
      <c r="F239" s="358">
        <f t="shared" si="44"/>
        <v>5966746.5375000006</v>
      </c>
      <c r="G239" s="358">
        <f t="shared" si="44"/>
        <v>6563421.191250002</v>
      </c>
      <c r="H239" s="358">
        <f t="shared" si="44"/>
        <v>7204846.4440312516</v>
      </c>
      <c r="I239" s="358">
        <f t="shared" si="44"/>
        <v>7894005.6691125035</v>
      </c>
      <c r="J239" s="358">
        <f t="shared" si="44"/>
        <v>8634068.7005918007</v>
      </c>
    </row>
    <row r="240" spans="1:10">
      <c r="A240" s="329" t="str">
        <f t="shared" si="38"/>
        <v>Jawar</v>
      </c>
      <c r="B240" s="329" t="s">
        <v>347</v>
      </c>
      <c r="C240" s="393"/>
      <c r="D240" s="358">
        <f t="shared" ref="D240:J240" si="45">B75*$C$240*D$172</f>
        <v>0</v>
      </c>
      <c r="E240" s="358">
        <f t="shared" si="45"/>
        <v>0</v>
      </c>
      <c r="F240" s="358">
        <f t="shared" si="45"/>
        <v>0</v>
      </c>
      <c r="G240" s="358">
        <f t="shared" si="45"/>
        <v>0</v>
      </c>
      <c r="H240" s="358">
        <f t="shared" si="45"/>
        <v>0</v>
      </c>
      <c r="I240" s="358">
        <f t="shared" si="45"/>
        <v>0</v>
      </c>
      <c r="J240" s="358">
        <f t="shared" si="45"/>
        <v>0</v>
      </c>
    </row>
    <row r="241" spans="1:10">
      <c r="A241" s="329" t="str">
        <f t="shared" si="38"/>
        <v>Sunflower</v>
      </c>
      <c r="B241" s="329" t="s">
        <v>347</v>
      </c>
      <c r="C241" s="393"/>
      <c r="D241" s="358">
        <f t="shared" ref="D241:J241" si="46">B76*$C$241*D$172</f>
        <v>0</v>
      </c>
      <c r="E241" s="358">
        <f t="shared" si="46"/>
        <v>0</v>
      </c>
      <c r="F241" s="358">
        <f t="shared" si="46"/>
        <v>0</v>
      </c>
      <c r="G241" s="358">
        <f t="shared" si="46"/>
        <v>0</v>
      </c>
      <c r="H241" s="358">
        <f t="shared" si="46"/>
        <v>0</v>
      </c>
      <c r="I241" s="358">
        <f t="shared" si="46"/>
        <v>0</v>
      </c>
      <c r="J241" s="358">
        <f t="shared" si="46"/>
        <v>0</v>
      </c>
    </row>
    <row r="242" spans="1:10">
      <c r="A242" s="516" t="str">
        <f t="shared" si="38"/>
        <v>Maize (Rabbi)</v>
      </c>
      <c r="B242" s="329" t="s">
        <v>347</v>
      </c>
      <c r="C242" s="389">
        <v>1400</v>
      </c>
      <c r="D242" s="358">
        <f t="shared" ref="D242:J242" si="47">B77*$C$242*D$172</f>
        <v>6954569.9999999991</v>
      </c>
      <c r="E242" s="358">
        <f t="shared" si="47"/>
        <v>7686629.9999999991</v>
      </c>
      <c r="F242" s="358">
        <f t="shared" si="47"/>
        <v>8474509.5749999974</v>
      </c>
      <c r="G242" s="358">
        <f t="shared" si="47"/>
        <v>9321960.5325000007</v>
      </c>
      <c r="H242" s="358">
        <f t="shared" si="47"/>
        <v>10232970.311812501</v>
      </c>
      <c r="I242" s="358">
        <f t="shared" si="47"/>
        <v>11211776.167725002</v>
      </c>
      <c r="J242" s="358">
        <f t="shared" si="47"/>
        <v>12262880.183449222</v>
      </c>
    </row>
    <row r="243" spans="1:10">
      <c r="A243" s="516" t="str">
        <f t="shared" si="38"/>
        <v>Gram (Rabbi)</v>
      </c>
      <c r="B243" s="329" t="s">
        <v>347</v>
      </c>
      <c r="C243" s="389">
        <v>3500</v>
      </c>
      <c r="D243" s="358">
        <f t="shared" ref="D243:J243" si="48">B78*$C$243*D$172</f>
        <v>5961059.9999999991</v>
      </c>
      <c r="E243" s="358">
        <f t="shared" si="48"/>
        <v>6588540</v>
      </c>
      <c r="F243" s="358">
        <f t="shared" si="48"/>
        <v>7263865.3500000006</v>
      </c>
      <c r="G243" s="358">
        <f t="shared" si="48"/>
        <v>7990251.8850000016</v>
      </c>
      <c r="H243" s="358">
        <f t="shared" si="48"/>
        <v>8771117.4101250023</v>
      </c>
      <c r="I243" s="358">
        <f t="shared" si="48"/>
        <v>9610093.8580500018</v>
      </c>
      <c r="J243" s="358">
        <f t="shared" si="48"/>
        <v>10511040.15724219</v>
      </c>
    </row>
    <row r="244" spans="1:10">
      <c r="A244" s="516" t="str">
        <f t="shared" si="38"/>
        <v>Wheat (Rabbi)</v>
      </c>
      <c r="B244" s="329" t="s">
        <v>347</v>
      </c>
      <c r="C244" s="389">
        <v>2100</v>
      </c>
      <c r="D244" s="358">
        <f t="shared" ref="D244:J244" si="49">B79*$C$244*D$172</f>
        <v>7153271.9999999991</v>
      </c>
      <c r="E244" s="358">
        <f t="shared" si="49"/>
        <v>7906248</v>
      </c>
      <c r="F244" s="358">
        <f t="shared" si="49"/>
        <v>8716638.4199999999</v>
      </c>
      <c r="G244" s="358">
        <f t="shared" si="49"/>
        <v>9588302.262000002</v>
      </c>
      <c r="H244" s="358">
        <f t="shared" si="49"/>
        <v>10525340.892150003</v>
      </c>
      <c r="I244" s="358">
        <f t="shared" si="49"/>
        <v>11532112.629660003</v>
      </c>
      <c r="J244" s="358">
        <f t="shared" si="49"/>
        <v>12613248.188690629</v>
      </c>
    </row>
    <row r="245" spans="1:10">
      <c r="A245" s="329">
        <f t="shared" si="38"/>
        <v>0</v>
      </c>
      <c r="B245" s="329" t="s">
        <v>347</v>
      </c>
      <c r="C245" s="393"/>
      <c r="D245" s="358">
        <f t="shared" ref="D245:J245" si="50">B80*$C$245*D$172</f>
        <v>0</v>
      </c>
      <c r="E245" s="358">
        <f t="shared" si="50"/>
        <v>0</v>
      </c>
      <c r="F245" s="358">
        <f t="shared" si="50"/>
        <v>0</v>
      </c>
      <c r="G245" s="358">
        <f t="shared" si="50"/>
        <v>0</v>
      </c>
      <c r="H245" s="358">
        <f t="shared" si="50"/>
        <v>0</v>
      </c>
      <c r="I245" s="358">
        <f t="shared" si="50"/>
        <v>0</v>
      </c>
      <c r="J245" s="358">
        <f t="shared" si="50"/>
        <v>0</v>
      </c>
    </row>
    <row r="246" spans="1:10">
      <c r="A246" s="329">
        <f t="shared" si="38"/>
        <v>0</v>
      </c>
      <c r="B246" s="329" t="s">
        <v>347</v>
      </c>
      <c r="C246" s="393"/>
      <c r="D246" s="358">
        <f t="shared" ref="D246:J246" si="51">B81*$C$246*D$172</f>
        <v>0</v>
      </c>
      <c r="E246" s="358">
        <f t="shared" si="51"/>
        <v>0</v>
      </c>
      <c r="F246" s="358">
        <f t="shared" si="51"/>
        <v>0</v>
      </c>
      <c r="G246" s="358">
        <f t="shared" si="51"/>
        <v>0</v>
      </c>
      <c r="H246" s="358">
        <f t="shared" si="51"/>
        <v>0</v>
      </c>
      <c r="I246" s="358">
        <f t="shared" si="51"/>
        <v>0</v>
      </c>
      <c r="J246" s="358">
        <f t="shared" si="51"/>
        <v>0</v>
      </c>
    </row>
    <row r="247" spans="1:10">
      <c r="A247" s="357">
        <f t="shared" si="38"/>
        <v>0</v>
      </c>
      <c r="B247" s="329" t="s">
        <v>347</v>
      </c>
      <c r="C247" s="393"/>
      <c r="D247" s="358">
        <f t="shared" ref="D247:J247" si="52">B82*$C$247*D$172</f>
        <v>0</v>
      </c>
      <c r="E247" s="358">
        <f t="shared" si="52"/>
        <v>0</v>
      </c>
      <c r="F247" s="358">
        <f t="shared" si="52"/>
        <v>0</v>
      </c>
      <c r="G247" s="358">
        <f t="shared" si="52"/>
        <v>0</v>
      </c>
      <c r="H247" s="358">
        <f t="shared" si="52"/>
        <v>0</v>
      </c>
      <c r="I247" s="358">
        <f t="shared" si="52"/>
        <v>0</v>
      </c>
      <c r="J247" s="358">
        <f t="shared" si="52"/>
        <v>0</v>
      </c>
    </row>
    <row r="248" spans="1:10">
      <c r="A248" s="357">
        <f t="shared" si="38"/>
        <v>0</v>
      </c>
      <c r="B248" s="329" t="s">
        <v>347</v>
      </c>
      <c r="C248" s="393"/>
      <c r="D248" s="358">
        <f t="shared" ref="D248:J248" si="53">B83*$C$248*D$172</f>
        <v>0</v>
      </c>
      <c r="E248" s="358">
        <f t="shared" si="53"/>
        <v>0</v>
      </c>
      <c r="F248" s="358">
        <f t="shared" si="53"/>
        <v>0</v>
      </c>
      <c r="G248" s="358">
        <f t="shared" si="53"/>
        <v>0</v>
      </c>
      <c r="H248" s="358">
        <f t="shared" si="53"/>
        <v>0</v>
      </c>
      <c r="I248" s="358">
        <f t="shared" si="53"/>
        <v>0</v>
      </c>
      <c r="J248" s="358">
        <f t="shared" si="53"/>
        <v>0</v>
      </c>
    </row>
    <row r="249" spans="1:10">
      <c r="A249" s="357">
        <f t="shared" si="38"/>
        <v>0</v>
      </c>
      <c r="B249" s="329" t="s">
        <v>347</v>
      </c>
      <c r="C249" s="393"/>
      <c r="D249" s="358">
        <f t="shared" ref="D249:J255" si="54">B84*$C249*D$172</f>
        <v>0</v>
      </c>
      <c r="E249" s="358">
        <f t="shared" si="54"/>
        <v>0</v>
      </c>
      <c r="F249" s="358">
        <f t="shared" si="54"/>
        <v>0</v>
      </c>
      <c r="G249" s="358">
        <f t="shared" si="54"/>
        <v>0</v>
      </c>
      <c r="H249" s="358">
        <f t="shared" si="54"/>
        <v>0</v>
      </c>
      <c r="I249" s="358">
        <f t="shared" si="54"/>
        <v>0</v>
      </c>
      <c r="J249" s="358">
        <f t="shared" si="54"/>
        <v>0</v>
      </c>
    </row>
    <row r="250" spans="1:10">
      <c r="A250" s="518" t="str">
        <f t="shared" si="38"/>
        <v>Maize (Summer)</v>
      </c>
      <c r="B250" s="329" t="s">
        <v>347</v>
      </c>
      <c r="C250" s="389">
        <v>1400</v>
      </c>
      <c r="D250" s="358">
        <f t="shared" si="54"/>
        <v>5961059.9999999991</v>
      </c>
      <c r="E250" s="358">
        <f t="shared" si="54"/>
        <v>6588540</v>
      </c>
      <c r="F250" s="358">
        <f t="shared" si="54"/>
        <v>7263865.3500000015</v>
      </c>
      <c r="G250" s="358">
        <f t="shared" si="54"/>
        <v>7990251.8850000016</v>
      </c>
      <c r="H250" s="358">
        <f t="shared" si="54"/>
        <v>8771117.4101250023</v>
      </c>
      <c r="I250" s="358">
        <f t="shared" si="54"/>
        <v>9610093.8580500036</v>
      </c>
      <c r="J250" s="358">
        <f t="shared" si="54"/>
        <v>10511040.157242192</v>
      </c>
    </row>
    <row r="251" spans="1:10">
      <c r="A251" s="518" t="str">
        <f t="shared" si="38"/>
        <v>Jawar (Summer)</v>
      </c>
      <c r="B251" s="329" t="s">
        <v>347</v>
      </c>
      <c r="C251" s="389">
        <v>3200</v>
      </c>
      <c r="D251" s="358">
        <f t="shared" si="54"/>
        <v>11649614.399999999</v>
      </c>
      <c r="E251" s="358">
        <f t="shared" si="54"/>
        <v>12875889.599999998</v>
      </c>
      <c r="F251" s="358">
        <f t="shared" si="54"/>
        <v>14195668.284</v>
      </c>
      <c r="G251" s="358">
        <f t="shared" si="54"/>
        <v>15615235.112400001</v>
      </c>
      <c r="H251" s="358">
        <f t="shared" si="54"/>
        <v>17141269.452930003</v>
      </c>
      <c r="I251" s="358">
        <f t="shared" si="54"/>
        <v>18780869.139732011</v>
      </c>
      <c r="J251" s="358">
        <f t="shared" si="54"/>
        <v>20541575.621581882</v>
      </c>
    </row>
    <row r="252" spans="1:10">
      <c r="A252" s="357">
        <f t="shared" si="38"/>
        <v>0</v>
      </c>
      <c r="B252" s="329" t="s">
        <v>347</v>
      </c>
      <c r="C252" s="393"/>
      <c r="D252" s="358">
        <f t="shared" si="54"/>
        <v>0</v>
      </c>
      <c r="E252" s="358">
        <f t="shared" si="54"/>
        <v>0</v>
      </c>
      <c r="F252" s="358">
        <f t="shared" si="54"/>
        <v>0</v>
      </c>
      <c r="G252" s="358">
        <f t="shared" si="54"/>
        <v>0</v>
      </c>
      <c r="H252" s="358">
        <f t="shared" si="54"/>
        <v>0</v>
      </c>
      <c r="I252" s="358">
        <f t="shared" si="54"/>
        <v>0</v>
      </c>
      <c r="J252" s="358">
        <f t="shared" si="54"/>
        <v>0</v>
      </c>
    </row>
    <row r="253" spans="1:10">
      <c r="A253" s="357">
        <f t="shared" si="38"/>
        <v>0</v>
      </c>
      <c r="B253" s="329" t="s">
        <v>347</v>
      </c>
      <c r="C253" s="393"/>
      <c r="D253" s="358">
        <f t="shared" si="54"/>
        <v>0</v>
      </c>
      <c r="E253" s="358">
        <f t="shared" si="54"/>
        <v>0</v>
      </c>
      <c r="F253" s="358">
        <f t="shared" si="54"/>
        <v>0</v>
      </c>
      <c r="G253" s="358">
        <f t="shared" si="54"/>
        <v>0</v>
      </c>
      <c r="H253" s="358">
        <f t="shared" si="54"/>
        <v>0</v>
      </c>
      <c r="I253" s="358">
        <f t="shared" si="54"/>
        <v>0</v>
      </c>
      <c r="J253" s="358">
        <f t="shared" si="54"/>
        <v>0</v>
      </c>
    </row>
    <row r="254" spans="1:10">
      <c r="A254" s="357">
        <f t="shared" si="38"/>
        <v>0</v>
      </c>
      <c r="B254" s="329" t="s">
        <v>347</v>
      </c>
      <c r="C254" s="393"/>
      <c r="D254" s="358">
        <f t="shared" si="54"/>
        <v>0</v>
      </c>
      <c r="E254" s="358">
        <f t="shared" si="54"/>
        <v>0</v>
      </c>
      <c r="F254" s="358">
        <f t="shared" si="54"/>
        <v>0</v>
      </c>
      <c r="G254" s="358">
        <f t="shared" si="54"/>
        <v>0</v>
      </c>
      <c r="H254" s="358">
        <f t="shared" si="54"/>
        <v>0</v>
      </c>
      <c r="I254" s="358">
        <f t="shared" si="54"/>
        <v>0</v>
      </c>
      <c r="J254" s="358">
        <f t="shared" si="54"/>
        <v>0</v>
      </c>
    </row>
    <row r="255" spans="1:10">
      <c r="A255" s="357">
        <f t="shared" ref="A255:A274" si="55">A201</f>
        <v>0</v>
      </c>
      <c r="B255" s="329"/>
      <c r="C255" s="393"/>
      <c r="D255" s="358">
        <f t="shared" si="54"/>
        <v>0</v>
      </c>
      <c r="E255" s="358">
        <f t="shared" si="54"/>
        <v>0</v>
      </c>
      <c r="F255" s="358">
        <f t="shared" si="54"/>
        <v>0</v>
      </c>
      <c r="G255" s="358">
        <f t="shared" si="54"/>
        <v>0</v>
      </c>
      <c r="H255" s="358">
        <f t="shared" si="54"/>
        <v>0</v>
      </c>
      <c r="I255" s="358">
        <f t="shared" si="54"/>
        <v>0</v>
      </c>
      <c r="J255" s="358">
        <f t="shared" si="54"/>
        <v>0</v>
      </c>
    </row>
    <row r="256" spans="1:10">
      <c r="A256" s="332" t="str">
        <f t="shared" si="55"/>
        <v>Fruit  &amp; Vegetables Crop Production Details</v>
      </c>
      <c r="B256" s="329"/>
      <c r="C256" s="393"/>
      <c r="D256" s="358"/>
      <c r="E256" s="358"/>
      <c r="F256" s="358"/>
      <c r="G256" s="358"/>
      <c r="H256" s="358"/>
      <c r="I256" s="358"/>
      <c r="J256" s="358"/>
    </row>
    <row r="257" spans="1:10">
      <c r="A257" s="329" t="str">
        <f t="shared" si="55"/>
        <v>Onion</v>
      </c>
      <c r="B257" s="329" t="s">
        <v>347</v>
      </c>
      <c r="C257" s="393"/>
      <c r="D257" s="358">
        <f t="shared" ref="D257:D274" si="56">B92*$C257*D$172</f>
        <v>0</v>
      </c>
      <c r="E257" s="358">
        <f t="shared" ref="E257:E274" si="57">C92*$C257*E$172</f>
        <v>0</v>
      </c>
      <c r="F257" s="358">
        <f t="shared" ref="F257:F274" si="58">D92*$C257*F$172</f>
        <v>0</v>
      </c>
      <c r="G257" s="358">
        <f t="shared" ref="G257:G274" si="59">E92*$C257*G$172</f>
        <v>0</v>
      </c>
      <c r="H257" s="358">
        <f t="shared" ref="H257:H274" si="60">F92*$C257*H$172</f>
        <v>0</v>
      </c>
      <c r="I257" s="358">
        <f t="shared" ref="I257:I274" si="61">G92*$C257*I$172</f>
        <v>0</v>
      </c>
      <c r="J257" s="358">
        <f t="shared" ref="J257:J274" si="62">H92*$C257*J$172</f>
        <v>0</v>
      </c>
    </row>
    <row r="258" spans="1:10">
      <c r="A258" s="329" t="str">
        <f t="shared" si="55"/>
        <v>Tomato</v>
      </c>
      <c r="B258" s="329" t="s">
        <v>347</v>
      </c>
      <c r="C258" s="393"/>
      <c r="D258" s="358">
        <f t="shared" si="56"/>
        <v>0</v>
      </c>
      <c r="E258" s="358">
        <f t="shared" si="57"/>
        <v>0</v>
      </c>
      <c r="F258" s="358">
        <f t="shared" si="58"/>
        <v>0</v>
      </c>
      <c r="G258" s="358">
        <f t="shared" si="59"/>
        <v>0</v>
      </c>
      <c r="H258" s="358">
        <f t="shared" si="60"/>
        <v>0</v>
      </c>
      <c r="I258" s="358">
        <f t="shared" si="61"/>
        <v>0</v>
      </c>
      <c r="J258" s="358">
        <f t="shared" si="62"/>
        <v>0</v>
      </c>
    </row>
    <row r="259" spans="1:10">
      <c r="A259" s="329" t="str">
        <f t="shared" si="55"/>
        <v>Okra</v>
      </c>
      <c r="B259" s="329" t="s">
        <v>347</v>
      </c>
      <c r="C259" s="393"/>
      <c r="D259" s="358">
        <f t="shared" si="56"/>
        <v>0</v>
      </c>
      <c r="E259" s="358">
        <f t="shared" si="57"/>
        <v>0</v>
      </c>
      <c r="F259" s="358">
        <f t="shared" si="58"/>
        <v>0</v>
      </c>
      <c r="G259" s="358">
        <f t="shared" si="59"/>
        <v>0</v>
      </c>
      <c r="H259" s="358">
        <f t="shared" si="60"/>
        <v>0</v>
      </c>
      <c r="I259" s="358">
        <f t="shared" si="61"/>
        <v>0</v>
      </c>
      <c r="J259" s="358">
        <f t="shared" si="62"/>
        <v>0</v>
      </c>
    </row>
    <row r="260" spans="1:10">
      <c r="A260" s="329" t="str">
        <f t="shared" si="55"/>
        <v>Chilli</v>
      </c>
      <c r="B260" s="329" t="s">
        <v>347</v>
      </c>
      <c r="C260" s="393"/>
      <c r="D260" s="358">
        <f t="shared" si="56"/>
        <v>0</v>
      </c>
      <c r="E260" s="358">
        <f t="shared" si="57"/>
        <v>0</v>
      </c>
      <c r="F260" s="358">
        <f t="shared" si="58"/>
        <v>0</v>
      </c>
      <c r="G260" s="358">
        <f t="shared" si="59"/>
        <v>0</v>
      </c>
      <c r="H260" s="358">
        <f t="shared" si="60"/>
        <v>0</v>
      </c>
      <c r="I260" s="358">
        <f t="shared" si="61"/>
        <v>0</v>
      </c>
      <c r="J260" s="358">
        <f t="shared" si="62"/>
        <v>0</v>
      </c>
    </row>
    <row r="261" spans="1:10">
      <c r="A261" s="329" t="str">
        <f t="shared" si="55"/>
        <v>Potato</v>
      </c>
      <c r="B261" s="329" t="s">
        <v>347</v>
      </c>
      <c r="C261" s="393"/>
      <c r="D261" s="358">
        <f t="shared" si="56"/>
        <v>0</v>
      </c>
      <c r="E261" s="358">
        <f t="shared" si="57"/>
        <v>0</v>
      </c>
      <c r="F261" s="358">
        <f t="shared" si="58"/>
        <v>0</v>
      </c>
      <c r="G261" s="358">
        <f t="shared" si="59"/>
        <v>0</v>
      </c>
      <c r="H261" s="358">
        <f t="shared" si="60"/>
        <v>0</v>
      </c>
      <c r="I261" s="358">
        <f t="shared" si="61"/>
        <v>0</v>
      </c>
      <c r="J261" s="358">
        <f t="shared" si="62"/>
        <v>0</v>
      </c>
    </row>
    <row r="262" spans="1:10">
      <c r="A262" s="357">
        <f t="shared" si="55"/>
        <v>0</v>
      </c>
      <c r="B262" s="329" t="s">
        <v>347</v>
      </c>
      <c r="C262" s="393"/>
      <c r="D262" s="358">
        <f t="shared" si="56"/>
        <v>0</v>
      </c>
      <c r="E262" s="358">
        <f t="shared" si="57"/>
        <v>0</v>
      </c>
      <c r="F262" s="358">
        <f t="shared" si="58"/>
        <v>0</v>
      </c>
      <c r="G262" s="358">
        <f t="shared" si="59"/>
        <v>0</v>
      </c>
      <c r="H262" s="358">
        <f t="shared" si="60"/>
        <v>0</v>
      </c>
      <c r="I262" s="358">
        <f t="shared" si="61"/>
        <v>0</v>
      </c>
      <c r="J262" s="358">
        <f t="shared" si="62"/>
        <v>0</v>
      </c>
    </row>
    <row r="263" spans="1:10">
      <c r="A263" s="357">
        <f t="shared" si="55"/>
        <v>0</v>
      </c>
      <c r="B263" s="329" t="s">
        <v>347</v>
      </c>
      <c r="C263" s="393"/>
      <c r="D263" s="358">
        <f t="shared" si="56"/>
        <v>0</v>
      </c>
      <c r="E263" s="358">
        <f t="shared" si="57"/>
        <v>0</v>
      </c>
      <c r="F263" s="358">
        <f t="shared" si="58"/>
        <v>0</v>
      </c>
      <c r="G263" s="358">
        <f t="shared" si="59"/>
        <v>0</v>
      </c>
      <c r="H263" s="358">
        <f t="shared" si="60"/>
        <v>0</v>
      </c>
      <c r="I263" s="358">
        <f t="shared" si="61"/>
        <v>0</v>
      </c>
      <c r="J263" s="358">
        <f t="shared" si="62"/>
        <v>0</v>
      </c>
    </row>
    <row r="264" spans="1:10">
      <c r="A264" s="357">
        <f t="shared" si="55"/>
        <v>0</v>
      </c>
      <c r="B264" s="329" t="s">
        <v>347</v>
      </c>
      <c r="C264" s="393"/>
      <c r="D264" s="358">
        <f t="shared" si="56"/>
        <v>0</v>
      </c>
      <c r="E264" s="358">
        <f t="shared" si="57"/>
        <v>0</v>
      </c>
      <c r="F264" s="358">
        <f t="shared" si="58"/>
        <v>0</v>
      </c>
      <c r="G264" s="358">
        <f t="shared" si="59"/>
        <v>0</v>
      </c>
      <c r="H264" s="358">
        <f t="shared" si="60"/>
        <v>0</v>
      </c>
      <c r="I264" s="358">
        <f t="shared" si="61"/>
        <v>0</v>
      </c>
      <c r="J264" s="358">
        <f t="shared" si="62"/>
        <v>0</v>
      </c>
    </row>
    <row r="265" spans="1:10">
      <c r="A265" s="357">
        <f t="shared" si="55"/>
        <v>0</v>
      </c>
      <c r="B265" s="329" t="s">
        <v>347</v>
      </c>
      <c r="C265" s="393"/>
      <c r="D265" s="358">
        <f t="shared" si="56"/>
        <v>0</v>
      </c>
      <c r="E265" s="358">
        <f t="shared" si="57"/>
        <v>0</v>
      </c>
      <c r="F265" s="358">
        <f t="shared" si="58"/>
        <v>0</v>
      </c>
      <c r="G265" s="358">
        <f t="shared" si="59"/>
        <v>0</v>
      </c>
      <c r="H265" s="358">
        <f t="shared" si="60"/>
        <v>0</v>
      </c>
      <c r="I265" s="358">
        <f t="shared" si="61"/>
        <v>0</v>
      </c>
      <c r="J265" s="358">
        <f t="shared" si="62"/>
        <v>0</v>
      </c>
    </row>
    <row r="266" spans="1:10">
      <c r="A266" s="329" t="str">
        <f t="shared" si="55"/>
        <v>Onion</v>
      </c>
      <c r="B266" s="329" t="s">
        <v>347</v>
      </c>
      <c r="C266" s="393"/>
      <c r="D266" s="358">
        <f t="shared" si="56"/>
        <v>0</v>
      </c>
      <c r="E266" s="358">
        <f t="shared" si="57"/>
        <v>0</v>
      </c>
      <c r="F266" s="358">
        <f t="shared" si="58"/>
        <v>0</v>
      </c>
      <c r="G266" s="358">
        <f t="shared" si="59"/>
        <v>0</v>
      </c>
      <c r="H266" s="358">
        <f t="shared" si="60"/>
        <v>0</v>
      </c>
      <c r="I266" s="358">
        <f t="shared" si="61"/>
        <v>0</v>
      </c>
      <c r="J266" s="358">
        <f t="shared" si="62"/>
        <v>0</v>
      </c>
    </row>
    <row r="267" spans="1:10">
      <c r="A267" s="329" t="str">
        <f t="shared" si="55"/>
        <v>Tomato</v>
      </c>
      <c r="B267" s="329" t="s">
        <v>347</v>
      </c>
      <c r="C267" s="393"/>
      <c r="D267" s="358">
        <f t="shared" si="56"/>
        <v>0</v>
      </c>
      <c r="E267" s="358">
        <f t="shared" si="57"/>
        <v>0</v>
      </c>
      <c r="F267" s="358">
        <f t="shared" si="58"/>
        <v>0</v>
      </c>
      <c r="G267" s="358">
        <f t="shared" si="59"/>
        <v>0</v>
      </c>
      <c r="H267" s="358">
        <f t="shared" si="60"/>
        <v>0</v>
      </c>
      <c r="I267" s="358">
        <f t="shared" si="61"/>
        <v>0</v>
      </c>
      <c r="J267" s="358">
        <f t="shared" si="62"/>
        <v>0</v>
      </c>
    </row>
    <row r="268" spans="1:10">
      <c r="A268" s="329" t="str">
        <f t="shared" si="55"/>
        <v>Okra</v>
      </c>
      <c r="B268" s="329" t="s">
        <v>347</v>
      </c>
      <c r="C268" s="393"/>
      <c r="D268" s="358">
        <f t="shared" si="56"/>
        <v>0</v>
      </c>
      <c r="E268" s="358">
        <f t="shared" si="57"/>
        <v>0</v>
      </c>
      <c r="F268" s="358">
        <f t="shared" si="58"/>
        <v>0</v>
      </c>
      <c r="G268" s="358">
        <f t="shared" si="59"/>
        <v>0</v>
      </c>
      <c r="H268" s="358">
        <f t="shared" si="60"/>
        <v>0</v>
      </c>
      <c r="I268" s="358">
        <f t="shared" si="61"/>
        <v>0</v>
      </c>
      <c r="J268" s="358">
        <f t="shared" si="62"/>
        <v>0</v>
      </c>
    </row>
    <row r="269" spans="1:10">
      <c r="A269" s="329" t="str">
        <f t="shared" si="55"/>
        <v>Chilli</v>
      </c>
      <c r="B269" s="329" t="s">
        <v>347</v>
      </c>
      <c r="C269" s="393"/>
      <c r="D269" s="358">
        <f t="shared" si="56"/>
        <v>0</v>
      </c>
      <c r="E269" s="358">
        <f t="shared" si="57"/>
        <v>0</v>
      </c>
      <c r="F269" s="358">
        <f t="shared" si="58"/>
        <v>0</v>
      </c>
      <c r="G269" s="358">
        <f t="shared" si="59"/>
        <v>0</v>
      </c>
      <c r="H269" s="358">
        <f t="shared" si="60"/>
        <v>0</v>
      </c>
      <c r="I269" s="358">
        <f t="shared" si="61"/>
        <v>0</v>
      </c>
      <c r="J269" s="358">
        <f t="shared" si="62"/>
        <v>0</v>
      </c>
    </row>
    <row r="270" spans="1:10">
      <c r="A270" s="329" t="str">
        <f t="shared" si="55"/>
        <v>Brinjal</v>
      </c>
      <c r="B270" s="329" t="s">
        <v>347</v>
      </c>
      <c r="C270" s="393"/>
      <c r="D270" s="358">
        <f t="shared" si="56"/>
        <v>0</v>
      </c>
      <c r="E270" s="358">
        <f t="shared" si="57"/>
        <v>0</v>
      </c>
      <c r="F270" s="358">
        <f t="shared" si="58"/>
        <v>0</v>
      </c>
      <c r="G270" s="358">
        <f t="shared" si="59"/>
        <v>0</v>
      </c>
      <c r="H270" s="358">
        <f t="shared" si="60"/>
        <v>0</v>
      </c>
      <c r="I270" s="358">
        <f t="shared" si="61"/>
        <v>0</v>
      </c>
      <c r="J270" s="358">
        <f t="shared" si="62"/>
        <v>0</v>
      </c>
    </row>
    <row r="271" spans="1:10">
      <c r="A271" s="357">
        <f t="shared" si="55"/>
        <v>0</v>
      </c>
      <c r="B271" s="329" t="s">
        <v>347</v>
      </c>
      <c r="C271" s="393"/>
      <c r="D271" s="358">
        <f t="shared" si="56"/>
        <v>0</v>
      </c>
      <c r="E271" s="358">
        <f t="shared" si="57"/>
        <v>0</v>
      </c>
      <c r="F271" s="358">
        <f t="shared" si="58"/>
        <v>0</v>
      </c>
      <c r="G271" s="358">
        <f t="shared" si="59"/>
        <v>0</v>
      </c>
      <c r="H271" s="358">
        <f t="shared" si="60"/>
        <v>0</v>
      </c>
      <c r="I271" s="358">
        <f t="shared" si="61"/>
        <v>0</v>
      </c>
      <c r="J271" s="358">
        <f t="shared" si="62"/>
        <v>0</v>
      </c>
    </row>
    <row r="272" spans="1:10">
      <c r="A272" s="357">
        <f t="shared" si="55"/>
        <v>0</v>
      </c>
      <c r="B272" s="329" t="s">
        <v>347</v>
      </c>
      <c r="C272" s="393"/>
      <c r="D272" s="358">
        <f t="shared" si="56"/>
        <v>0</v>
      </c>
      <c r="E272" s="358">
        <f t="shared" si="57"/>
        <v>0</v>
      </c>
      <c r="F272" s="358">
        <f t="shared" si="58"/>
        <v>0</v>
      </c>
      <c r="G272" s="358">
        <f t="shared" si="59"/>
        <v>0</v>
      </c>
      <c r="H272" s="358">
        <f t="shared" si="60"/>
        <v>0</v>
      </c>
      <c r="I272" s="358">
        <f t="shared" si="61"/>
        <v>0</v>
      </c>
      <c r="J272" s="358">
        <f t="shared" si="62"/>
        <v>0</v>
      </c>
    </row>
    <row r="273" spans="1:10">
      <c r="A273" s="357">
        <f t="shared" si="55"/>
        <v>0</v>
      </c>
      <c r="B273" s="329" t="s">
        <v>347</v>
      </c>
      <c r="C273" s="393"/>
      <c r="D273" s="358">
        <f t="shared" si="56"/>
        <v>0</v>
      </c>
      <c r="E273" s="358">
        <f t="shared" si="57"/>
        <v>0</v>
      </c>
      <c r="F273" s="358">
        <f t="shared" si="58"/>
        <v>0</v>
      </c>
      <c r="G273" s="358">
        <f t="shared" si="59"/>
        <v>0</v>
      </c>
      <c r="H273" s="358">
        <f t="shared" si="60"/>
        <v>0</v>
      </c>
      <c r="I273" s="358">
        <f t="shared" si="61"/>
        <v>0</v>
      </c>
      <c r="J273" s="358">
        <f t="shared" si="62"/>
        <v>0</v>
      </c>
    </row>
    <row r="274" spans="1:10">
      <c r="A274" s="357">
        <f t="shared" si="55"/>
        <v>0</v>
      </c>
      <c r="B274" s="329" t="s">
        <v>347</v>
      </c>
      <c r="C274" s="393"/>
      <c r="D274" s="358">
        <f t="shared" si="56"/>
        <v>0</v>
      </c>
      <c r="E274" s="358">
        <f t="shared" si="57"/>
        <v>0</v>
      </c>
      <c r="F274" s="358">
        <f t="shared" si="58"/>
        <v>0</v>
      </c>
      <c r="G274" s="358">
        <f t="shared" si="59"/>
        <v>0</v>
      </c>
      <c r="H274" s="358">
        <f t="shared" si="60"/>
        <v>0</v>
      </c>
      <c r="I274" s="358">
        <f t="shared" si="61"/>
        <v>0</v>
      </c>
      <c r="J274" s="358">
        <f t="shared" si="62"/>
        <v>0</v>
      </c>
    </row>
    <row r="275" spans="1:10">
      <c r="A275" s="329" t="str">
        <f>A224</f>
        <v>Pomegranate</v>
      </c>
      <c r="B275" s="329" t="s">
        <v>347</v>
      </c>
      <c r="C275" s="393"/>
      <c r="D275" s="358">
        <f t="shared" ref="D275:J280" si="63">B113*$C275*D$172</f>
        <v>0</v>
      </c>
      <c r="E275" s="358">
        <f t="shared" si="63"/>
        <v>0</v>
      </c>
      <c r="F275" s="358">
        <f t="shared" si="63"/>
        <v>0</v>
      </c>
      <c r="G275" s="358">
        <f t="shared" si="63"/>
        <v>0</v>
      </c>
      <c r="H275" s="358">
        <f t="shared" si="63"/>
        <v>0</v>
      </c>
      <c r="I275" s="358">
        <f t="shared" si="63"/>
        <v>0</v>
      </c>
      <c r="J275" s="358">
        <f t="shared" si="63"/>
        <v>0</v>
      </c>
    </row>
    <row r="276" spans="1:10">
      <c r="A276" s="329" t="str">
        <f>A225</f>
        <v>Custard Apple</v>
      </c>
      <c r="B276" s="329" t="s">
        <v>347</v>
      </c>
      <c r="C276" s="393"/>
      <c r="D276" s="358">
        <f t="shared" si="63"/>
        <v>0</v>
      </c>
      <c r="E276" s="358">
        <f t="shared" si="63"/>
        <v>0</v>
      </c>
      <c r="F276" s="358">
        <f t="shared" si="63"/>
        <v>0</v>
      </c>
      <c r="G276" s="358">
        <f t="shared" si="63"/>
        <v>0</v>
      </c>
      <c r="H276" s="358">
        <f t="shared" si="63"/>
        <v>0</v>
      </c>
      <c r="I276" s="358">
        <f t="shared" si="63"/>
        <v>0</v>
      </c>
      <c r="J276" s="358">
        <f t="shared" si="63"/>
        <v>0</v>
      </c>
    </row>
    <row r="277" spans="1:10">
      <c r="A277" s="329" t="str">
        <f>A226</f>
        <v>Guava</v>
      </c>
      <c r="B277" s="329" t="s">
        <v>347</v>
      </c>
      <c r="C277" s="393"/>
      <c r="D277" s="358">
        <f t="shared" si="63"/>
        <v>0</v>
      </c>
      <c r="E277" s="358">
        <f t="shared" si="63"/>
        <v>0</v>
      </c>
      <c r="F277" s="358">
        <f t="shared" si="63"/>
        <v>0</v>
      </c>
      <c r="G277" s="358">
        <f t="shared" si="63"/>
        <v>0</v>
      </c>
      <c r="H277" s="358">
        <f t="shared" si="63"/>
        <v>0</v>
      </c>
      <c r="I277" s="358">
        <f t="shared" si="63"/>
        <v>0</v>
      </c>
      <c r="J277" s="358">
        <f t="shared" si="63"/>
        <v>0</v>
      </c>
    </row>
    <row r="278" spans="1:10">
      <c r="A278" s="329" t="str">
        <f>A227</f>
        <v>Citrus</v>
      </c>
      <c r="B278" s="329" t="s">
        <v>347</v>
      </c>
      <c r="C278" s="393"/>
      <c r="D278" s="358">
        <f t="shared" si="63"/>
        <v>0</v>
      </c>
      <c r="E278" s="358">
        <f t="shared" si="63"/>
        <v>0</v>
      </c>
      <c r="F278" s="358">
        <f t="shared" si="63"/>
        <v>0</v>
      </c>
      <c r="G278" s="358">
        <f t="shared" si="63"/>
        <v>0</v>
      </c>
      <c r="H278" s="358">
        <f t="shared" si="63"/>
        <v>0</v>
      </c>
      <c r="I278" s="358">
        <f t="shared" si="63"/>
        <v>0</v>
      </c>
      <c r="J278" s="358">
        <f t="shared" si="63"/>
        <v>0</v>
      </c>
    </row>
    <row r="279" spans="1:10">
      <c r="A279" s="357">
        <f>A228</f>
        <v>0</v>
      </c>
      <c r="B279" s="329" t="s">
        <v>347</v>
      </c>
      <c r="C279" s="393"/>
      <c r="D279" s="358">
        <f t="shared" si="63"/>
        <v>0</v>
      </c>
      <c r="E279" s="358">
        <f t="shared" si="63"/>
        <v>0</v>
      </c>
      <c r="F279" s="358">
        <f t="shared" si="63"/>
        <v>0</v>
      </c>
      <c r="G279" s="358">
        <f t="shared" si="63"/>
        <v>0</v>
      </c>
      <c r="H279" s="358">
        <f t="shared" si="63"/>
        <v>0</v>
      </c>
      <c r="I279" s="358">
        <f t="shared" si="63"/>
        <v>0</v>
      </c>
      <c r="J279" s="358">
        <f t="shared" si="63"/>
        <v>0</v>
      </c>
    </row>
    <row r="280" spans="1:10">
      <c r="A280" s="357">
        <f>A230</f>
        <v>0</v>
      </c>
      <c r="B280" s="329"/>
      <c r="C280" s="393"/>
      <c r="D280" s="358">
        <f t="shared" si="63"/>
        <v>0</v>
      </c>
      <c r="E280" s="358">
        <f t="shared" si="63"/>
        <v>0</v>
      </c>
      <c r="F280" s="358">
        <f t="shared" si="63"/>
        <v>0</v>
      </c>
      <c r="G280" s="358">
        <f t="shared" si="63"/>
        <v>0</v>
      </c>
      <c r="H280" s="358">
        <f t="shared" si="63"/>
        <v>0</v>
      </c>
      <c r="I280" s="358">
        <f t="shared" si="63"/>
        <v>0</v>
      </c>
      <c r="J280" s="358">
        <f t="shared" si="63"/>
        <v>0</v>
      </c>
    </row>
    <row r="281" spans="1:10">
      <c r="A281" s="329"/>
      <c r="B281" s="329"/>
      <c r="C281" s="393"/>
      <c r="D281" s="358"/>
      <c r="E281" s="358"/>
      <c r="F281" s="358"/>
      <c r="G281" s="358"/>
      <c r="H281" s="358"/>
      <c r="I281" s="358"/>
      <c r="J281" s="358"/>
    </row>
    <row r="282" spans="1:10">
      <c r="A282" s="329" t="s">
        <v>301</v>
      </c>
      <c r="B282" s="273">
        <v>0</v>
      </c>
      <c r="C282" s="273">
        <v>300</v>
      </c>
      <c r="D282" s="358">
        <f t="shared" ref="D282:J282" si="64">B10*$B$282*$C$282*D172</f>
        <v>0</v>
      </c>
      <c r="E282" s="358">
        <f t="shared" si="64"/>
        <v>0</v>
      </c>
      <c r="F282" s="358">
        <f t="shared" si="64"/>
        <v>0</v>
      </c>
      <c r="G282" s="358">
        <f t="shared" si="64"/>
        <v>0</v>
      </c>
      <c r="H282" s="358">
        <f t="shared" si="64"/>
        <v>0</v>
      </c>
      <c r="I282" s="358">
        <f t="shared" si="64"/>
        <v>0</v>
      </c>
      <c r="J282" s="358">
        <f t="shared" si="64"/>
        <v>0</v>
      </c>
    </row>
    <row r="283" spans="1:10">
      <c r="A283" s="329" t="s">
        <v>143</v>
      </c>
      <c r="B283" s="357">
        <f>'2.Capex Details'!H66*0.746*8</f>
        <v>50.728000000000002</v>
      </c>
      <c r="C283" s="273">
        <v>9.48</v>
      </c>
      <c r="D283" s="358">
        <f t="shared" ref="D283:J283" si="65">$B$283*$C$283*D172*B10</f>
        <v>81755.903283273001</v>
      </c>
      <c r="E283" s="358">
        <f t="shared" si="65"/>
        <v>90361.787839406999</v>
      </c>
      <c r="F283" s="358">
        <f t="shared" si="65"/>
        <v>99623.871092946225</v>
      </c>
      <c r="G283" s="358">
        <f t="shared" si="65"/>
        <v>109586.25820224088</v>
      </c>
      <c r="H283" s="358">
        <f t="shared" si="65"/>
        <v>120295.82434473261</v>
      </c>
      <c r="I283" s="358">
        <f t="shared" si="65"/>
        <v>131802.3814559679</v>
      </c>
      <c r="J283" s="358">
        <f t="shared" si="65"/>
        <v>144158.85471746488</v>
      </c>
    </row>
    <row r="284" spans="1:10">
      <c r="A284" s="329" t="s">
        <v>442</v>
      </c>
      <c r="B284" s="329"/>
      <c r="C284" s="273">
        <v>40</v>
      </c>
      <c r="D284" s="358">
        <f>SUM(B120:B141)*$C$284*D172</f>
        <v>1055394.3185999999</v>
      </c>
      <c r="E284" s="358">
        <f t="shared" ref="E284:J284" si="66">SUM(C120:C141)*$C$284*E172</f>
        <v>1166488.4574000002</v>
      </c>
      <c r="F284" s="358">
        <f t="shared" si="66"/>
        <v>1286053.5242835002</v>
      </c>
      <c r="G284" s="358">
        <f t="shared" si="66"/>
        <v>1414658.8767118503</v>
      </c>
      <c r="H284" s="358">
        <f t="shared" si="66"/>
        <v>1552909.6305723265</v>
      </c>
      <c r="I284" s="358">
        <f t="shared" si="66"/>
        <v>1701448.8126270708</v>
      </c>
      <c r="J284" s="358">
        <f t="shared" si="66"/>
        <v>1860959.6388108591</v>
      </c>
    </row>
    <row r="285" spans="1:10">
      <c r="A285" s="329" t="s">
        <v>441</v>
      </c>
      <c r="B285" s="329"/>
      <c r="C285" s="273">
        <v>50</v>
      </c>
      <c r="D285" s="358">
        <f t="shared" ref="D285:J285" si="67">SUM(B120:B141)*$C$285*D172</f>
        <v>1319242.8982499999</v>
      </c>
      <c r="E285" s="358">
        <f t="shared" si="67"/>
        <v>1458110.5717500001</v>
      </c>
      <c r="F285" s="358">
        <f t="shared" si="67"/>
        <v>1607566.9053543753</v>
      </c>
      <c r="G285" s="358">
        <f t="shared" si="67"/>
        <v>1768323.5958898128</v>
      </c>
      <c r="H285" s="358">
        <f t="shared" si="67"/>
        <v>1941137.0382154081</v>
      </c>
      <c r="I285" s="358">
        <f t="shared" si="67"/>
        <v>2126811.0157838385</v>
      </c>
      <c r="J285" s="358">
        <f t="shared" si="67"/>
        <v>2326199.5485135736</v>
      </c>
    </row>
    <row r="286" spans="1:10">
      <c r="A286" s="329"/>
      <c r="B286" s="329"/>
      <c r="C286" s="329"/>
      <c r="D286" s="329"/>
      <c r="E286" s="329"/>
      <c r="F286" s="329"/>
      <c r="G286" s="329"/>
      <c r="H286" s="329"/>
      <c r="I286" s="329"/>
      <c r="J286" s="329"/>
    </row>
    <row r="287" spans="1:10">
      <c r="A287" s="329"/>
      <c r="B287" s="329"/>
      <c r="C287" s="329"/>
      <c r="D287" s="329"/>
      <c r="E287" s="329"/>
      <c r="F287" s="329"/>
      <c r="G287" s="329"/>
      <c r="H287" s="329"/>
      <c r="I287" s="329"/>
      <c r="J287" s="329"/>
    </row>
    <row r="288" spans="1:10">
      <c r="A288" s="329"/>
      <c r="B288" s="329"/>
      <c r="C288" s="329"/>
      <c r="D288" s="329"/>
      <c r="E288" s="329"/>
      <c r="F288" s="329"/>
      <c r="G288" s="329"/>
      <c r="H288" s="329"/>
      <c r="I288" s="329"/>
      <c r="J288" s="329"/>
    </row>
    <row r="289" spans="1:14">
      <c r="A289" s="280" t="s">
        <v>330</v>
      </c>
      <c r="B289" s="329"/>
      <c r="C289" s="329"/>
      <c r="D289" s="390"/>
      <c r="E289" s="390">
        <f>'5.Closing Stock &amp; W Capital'!F7</f>
        <v>2748382.7260066639</v>
      </c>
      <c r="F289" s="390">
        <f>'5.Closing Stock &amp; W Capital'!G7</f>
        <v>3037686.1708494704</v>
      </c>
      <c r="G289" s="390">
        <f>'5.Closing Stock &amp; W Capital'!H7</f>
        <v>3349049.0033615413</v>
      </c>
      <c r="H289" s="390">
        <f>'5.Closing Stock &amp; W Capital'!I7</f>
        <v>3683953.9036976951</v>
      </c>
      <c r="I289" s="390">
        <f>'5.Closing Stock &amp; W Capital'!J7</f>
        <v>4043976.6715590619</v>
      </c>
      <c r="J289" s="390">
        <f>'5.Closing Stock &amp; W Capital'!K7</f>
        <v>4430791.831447321</v>
      </c>
    </row>
    <row r="290" spans="1:14">
      <c r="A290" s="280" t="s">
        <v>331</v>
      </c>
      <c r="B290" s="329"/>
      <c r="C290" s="390"/>
      <c r="D290" s="390">
        <f>'5.Closing Stock &amp; W Capital'!E16</f>
        <v>2748382.7260066639</v>
      </c>
      <c r="E290" s="390">
        <f>'5.Closing Stock &amp; W Capital'!F16</f>
        <v>3037686.1708494704</v>
      </c>
      <c r="F290" s="390">
        <f>'5.Closing Stock &amp; W Capital'!G16</f>
        <v>3349049.0033615413</v>
      </c>
      <c r="G290" s="390">
        <f>'5.Closing Stock &amp; W Capital'!H16</f>
        <v>3683953.9036976951</v>
      </c>
      <c r="H290" s="390">
        <f>'5.Closing Stock &amp; W Capital'!I16</f>
        <v>4043976.6715590619</v>
      </c>
      <c r="I290" s="390">
        <f>'5.Closing Stock &amp; W Capital'!J16</f>
        <v>4430791.831447321</v>
      </c>
      <c r="J290" s="390">
        <f>'5.Closing Stock &amp; W Capital'!K16</f>
        <v>4846178.5656455075</v>
      </c>
    </row>
    <row r="291" spans="1:14">
      <c r="A291" s="280"/>
      <c r="B291" s="329"/>
      <c r="C291" s="394"/>
      <c r="D291" s="390"/>
      <c r="E291" s="390"/>
      <c r="F291" s="390"/>
      <c r="G291" s="390"/>
      <c r="H291" s="390"/>
      <c r="I291" s="390"/>
      <c r="J291" s="390"/>
    </row>
    <row r="292" spans="1:14">
      <c r="A292" s="332" t="s">
        <v>310</v>
      </c>
      <c r="B292" s="332"/>
      <c r="C292" s="332"/>
      <c r="D292" s="359">
        <f t="shared" ref="D292:J292" si="68">SUM(D233:D289)-D290</f>
        <v>52219271.794126607</v>
      </c>
      <c r="E292" s="359">
        <f t="shared" si="68"/>
        <v>60464419.972146593</v>
      </c>
      <c r="F292" s="359">
        <f t="shared" si="68"/>
        <v>66669617.234718755</v>
      </c>
      <c r="G292" s="359">
        <f t="shared" si="68"/>
        <v>73344173.173617736</v>
      </c>
      <c r="H292" s="359">
        <f t="shared" si="68"/>
        <v>80519510.663319871</v>
      </c>
      <c r="I292" s="359">
        <f t="shared" si="68"/>
        <v>88229021.469058171</v>
      </c>
      <c r="J292" s="359">
        <f t="shared" si="68"/>
        <v>96508184.578711957</v>
      </c>
    </row>
    <row r="293" spans="1:14">
      <c r="A293" s="332" t="s">
        <v>302</v>
      </c>
      <c r="B293" s="329"/>
      <c r="C293" s="329"/>
      <c r="D293" s="395"/>
      <c r="E293" s="395"/>
      <c r="F293" s="395"/>
      <c r="G293" s="395"/>
      <c r="H293" s="395"/>
      <c r="I293" s="329"/>
      <c r="J293" s="329"/>
    </row>
    <row r="294" spans="1:14">
      <c r="A294" s="329" t="s">
        <v>182</v>
      </c>
      <c r="B294" s="273">
        <v>1</v>
      </c>
      <c r="C294" s="393">
        <v>15000</v>
      </c>
      <c r="D294" s="358">
        <f t="shared" ref="D294:J294" si="69">$B$294*$C$294*12*D172</f>
        <v>180000</v>
      </c>
      <c r="E294" s="358">
        <f t="shared" si="69"/>
        <v>189000</v>
      </c>
      <c r="F294" s="358">
        <f t="shared" si="69"/>
        <v>198450</v>
      </c>
      <c r="G294" s="358">
        <f t="shared" si="69"/>
        <v>208372.50000000003</v>
      </c>
      <c r="H294" s="358">
        <f t="shared" si="69"/>
        <v>218791.12500000003</v>
      </c>
      <c r="I294" s="358">
        <f t="shared" si="69"/>
        <v>229730.68125000005</v>
      </c>
      <c r="J294" s="358">
        <f t="shared" si="69"/>
        <v>241217.21531250008</v>
      </c>
    </row>
    <row r="295" spans="1:14">
      <c r="A295" s="329" t="s">
        <v>704</v>
      </c>
      <c r="B295" s="273">
        <v>2</v>
      </c>
      <c r="C295" s="393">
        <v>9000</v>
      </c>
      <c r="D295" s="358">
        <f>$B$295*$C$295*12*D172</f>
        <v>216000</v>
      </c>
      <c r="E295" s="358">
        <f t="shared" ref="E295:J295" si="70">$B$295*$C$295*12*E172</f>
        <v>226800</v>
      </c>
      <c r="F295" s="358">
        <f t="shared" si="70"/>
        <v>238140</v>
      </c>
      <c r="G295" s="358">
        <f t="shared" si="70"/>
        <v>250047.00000000003</v>
      </c>
      <c r="H295" s="358">
        <f t="shared" si="70"/>
        <v>262549.35000000003</v>
      </c>
      <c r="I295" s="358">
        <f t="shared" si="70"/>
        <v>275676.81750000006</v>
      </c>
      <c r="J295" s="358">
        <f t="shared" si="70"/>
        <v>289460.65837500012</v>
      </c>
      <c r="N295" s="396"/>
    </row>
    <row r="296" spans="1:14">
      <c r="A296" s="329"/>
      <c r="B296" s="273"/>
      <c r="C296" s="393"/>
      <c r="D296" s="358"/>
      <c r="E296" s="358"/>
      <c r="F296" s="358"/>
      <c r="G296" s="358"/>
      <c r="H296" s="358"/>
      <c r="I296" s="358"/>
      <c r="J296" s="358"/>
    </row>
    <row r="297" spans="1:14">
      <c r="A297" s="329"/>
      <c r="B297" s="273"/>
      <c r="C297" s="393"/>
      <c r="D297" s="358"/>
      <c r="E297" s="358"/>
      <c r="F297" s="358"/>
      <c r="G297" s="358"/>
      <c r="H297" s="358"/>
      <c r="I297" s="358"/>
      <c r="J297" s="358"/>
    </row>
    <row r="298" spans="1:14">
      <c r="A298" s="329"/>
      <c r="B298" s="273"/>
      <c r="C298" s="393"/>
      <c r="D298" s="358"/>
      <c r="E298" s="358"/>
      <c r="F298" s="358"/>
      <c r="G298" s="358"/>
      <c r="H298" s="358"/>
      <c r="I298" s="358"/>
      <c r="J298" s="358"/>
    </row>
    <row r="299" spans="1:14">
      <c r="A299" s="329"/>
      <c r="B299" s="273"/>
      <c r="C299" s="393"/>
      <c r="D299" s="358"/>
      <c r="E299" s="358"/>
      <c r="F299" s="358"/>
      <c r="G299" s="358"/>
      <c r="H299" s="358"/>
      <c r="I299" s="358"/>
      <c r="J299" s="358"/>
    </row>
    <row r="300" spans="1:14">
      <c r="A300" s="329"/>
      <c r="B300" s="273"/>
      <c r="C300" s="393"/>
      <c r="D300" s="358"/>
      <c r="E300" s="358"/>
      <c r="F300" s="358"/>
      <c r="G300" s="358"/>
      <c r="H300" s="358"/>
      <c r="I300" s="358"/>
      <c r="J300" s="358"/>
    </row>
    <row r="301" spans="1:14">
      <c r="A301" s="332" t="s">
        <v>313</v>
      </c>
      <c r="B301" s="277"/>
      <c r="C301" s="277"/>
      <c r="D301" s="359">
        <f t="shared" ref="D301:J301" si="71">SUM(D294:D300)</f>
        <v>396000</v>
      </c>
      <c r="E301" s="359">
        <f t="shared" si="71"/>
        <v>415800</v>
      </c>
      <c r="F301" s="359">
        <f t="shared" si="71"/>
        <v>436590</v>
      </c>
      <c r="G301" s="359">
        <f t="shared" si="71"/>
        <v>458419.50000000006</v>
      </c>
      <c r="H301" s="359">
        <f t="shared" si="71"/>
        <v>481340.47500000009</v>
      </c>
      <c r="I301" s="359">
        <f t="shared" si="71"/>
        <v>505407.49875000014</v>
      </c>
      <c r="J301" s="359">
        <f t="shared" si="71"/>
        <v>530677.87368750013</v>
      </c>
      <c r="N301" s="396"/>
    </row>
    <row r="302" spans="1:14">
      <c r="A302" s="361" t="s">
        <v>130</v>
      </c>
      <c r="B302" s="361"/>
      <c r="C302" s="361"/>
      <c r="D302" s="405">
        <f t="shared" ref="D302:J302" si="72">D292+D301</f>
        <v>52615271.794126607</v>
      </c>
      <c r="E302" s="405">
        <f t="shared" si="72"/>
        <v>60880219.972146593</v>
      </c>
      <c r="F302" s="405">
        <f t="shared" si="72"/>
        <v>67106207.234718755</v>
      </c>
      <c r="G302" s="405">
        <f t="shared" si="72"/>
        <v>73802592.673617736</v>
      </c>
      <c r="H302" s="405">
        <f t="shared" si="72"/>
        <v>81000851.138319865</v>
      </c>
      <c r="I302" s="405">
        <f t="shared" si="72"/>
        <v>88734428.967808172</v>
      </c>
      <c r="J302" s="405">
        <f t="shared" si="72"/>
        <v>97038862.452399462</v>
      </c>
    </row>
    <row r="303" spans="1:14">
      <c r="A303" s="329"/>
      <c r="B303" s="329"/>
      <c r="C303" s="329"/>
      <c r="D303" s="395"/>
      <c r="E303" s="395"/>
      <c r="F303" s="395"/>
      <c r="G303" s="395"/>
      <c r="H303" s="395"/>
      <c r="I303" s="329"/>
      <c r="J303" s="329"/>
    </row>
    <row r="304" spans="1:14">
      <c r="A304" s="332"/>
      <c r="B304" s="332"/>
      <c r="C304" s="332"/>
      <c r="D304" s="395"/>
      <c r="E304" s="395"/>
      <c r="F304" s="395"/>
      <c r="G304" s="395"/>
      <c r="H304" s="395"/>
      <c r="I304" s="329"/>
      <c r="J304" s="329"/>
    </row>
    <row r="305" spans="1:10">
      <c r="A305" s="332" t="s">
        <v>306</v>
      </c>
      <c r="B305" s="332"/>
      <c r="C305" s="332"/>
      <c r="D305" s="359">
        <f t="shared" ref="D305:J305" si="73">D229-D302</f>
        <v>3293540.1059983745</v>
      </c>
      <c r="E305" s="359">
        <f t="shared" si="73"/>
        <v>4003427.5224721581</v>
      </c>
      <c r="F305" s="359">
        <f t="shared" si="73"/>
        <v>4436551.4501371831</v>
      </c>
      <c r="G305" s="359">
        <f t="shared" si="73"/>
        <v>4902979.2017625719</v>
      </c>
      <c r="H305" s="359">
        <f t="shared" si="73"/>
        <v>5404958.3499251157</v>
      </c>
      <c r="I305" s="359">
        <f t="shared" si="73"/>
        <v>5944877.9648994654</v>
      </c>
      <c r="J305" s="359">
        <f t="shared" si="73"/>
        <v>6525277.1454965174</v>
      </c>
    </row>
    <row r="306" spans="1:10">
      <c r="D306" s="397">
        <f>+D305/D229*100</f>
        <v>5.8909141404791896</v>
      </c>
      <c r="E306" s="397">
        <f t="shared" ref="E306:J306" si="74">+E305/E229*100</f>
        <v>6.1701640969000549</v>
      </c>
      <c r="F306" s="397">
        <f t="shared" si="74"/>
        <v>6.2012585643783762</v>
      </c>
      <c r="G306" s="397">
        <f t="shared" si="74"/>
        <v>6.2295198229748969</v>
      </c>
      <c r="H306" s="397">
        <f t="shared" si="74"/>
        <v>6.2553182267917169</v>
      </c>
      <c r="I306" s="397">
        <f t="shared" si="74"/>
        <v>6.2789622753837095</v>
      </c>
      <c r="J306" s="397">
        <f t="shared" si="74"/>
        <v>6.3007110094593841</v>
      </c>
    </row>
    <row r="307" spans="1:10">
      <c r="A307" s="263" t="s">
        <v>51</v>
      </c>
    </row>
    <row r="308" spans="1:10">
      <c r="A308" s="556" t="s">
        <v>400</v>
      </c>
      <c r="B308" s="556"/>
      <c r="C308" s="556"/>
      <c r="D308" s="556"/>
      <c r="E308" s="556"/>
      <c r="F308" s="556"/>
      <c r="G308" s="556"/>
      <c r="H308" s="556"/>
      <c r="I308" s="556"/>
      <c r="J308" s="556"/>
    </row>
    <row r="310" spans="1:10">
      <c r="A310" s="263" t="s">
        <v>514</v>
      </c>
    </row>
    <row r="311" spans="1:10">
      <c r="A311" s="263">
        <v>1</v>
      </c>
      <c r="B311" s="263" t="s">
        <v>527</v>
      </c>
    </row>
    <row r="312" spans="1:10">
      <c r="A312" s="263">
        <v>2</v>
      </c>
      <c r="B312" s="263" t="s">
        <v>528</v>
      </c>
    </row>
    <row r="313" spans="1:10">
      <c r="A313" s="263">
        <v>3</v>
      </c>
      <c r="B313" s="263" t="s">
        <v>577</v>
      </c>
    </row>
  </sheetData>
  <mergeCells count="5">
    <mergeCell ref="A170:J170"/>
    <mergeCell ref="A2:H2"/>
    <mergeCell ref="A308:J308"/>
    <mergeCell ref="F4:H4"/>
    <mergeCell ref="A3:H3"/>
  </mergeCells>
  <pageMargins left="0.7" right="0.7" top="0.75" bottom="0.75" header="0.3" footer="0.3"/>
  <pageSetup paperSize="9" scale="47" orientation="portrait" r:id="rId1"/>
  <rowBreaks count="2" manualBreakCount="2">
    <brk id="90" max="9" man="1"/>
    <brk id="201"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01"/>
  <sheetViews>
    <sheetView view="pageBreakPreview" topLeftCell="A161" zoomScale="80" zoomScaleSheetLayoutView="80" workbookViewId="0">
      <selection activeCell="C194" sqref="C194"/>
    </sheetView>
  </sheetViews>
  <sheetFormatPr defaultRowHeight="14.25"/>
  <cols>
    <col min="1" max="1" width="41.5703125" style="263" bestFit="1" customWidth="1"/>
    <col min="2" max="2" width="10.140625" style="263" customWidth="1"/>
    <col min="3" max="3" width="11.7109375" style="263" bestFit="1" customWidth="1"/>
    <col min="4" max="4" width="16.7109375" style="263" bestFit="1" customWidth="1"/>
    <col min="5" max="10" width="15.5703125" style="263" bestFit="1" customWidth="1"/>
    <col min="11" max="16384" width="9.140625" style="263"/>
  </cols>
  <sheetData>
    <row r="3" spans="1:8" ht="18">
      <c r="A3" s="601" t="s">
        <v>722</v>
      </c>
      <c r="B3" s="601"/>
      <c r="C3" s="601"/>
      <c r="D3" s="601"/>
      <c r="E3" s="601"/>
      <c r="F3" s="601"/>
      <c r="G3" s="601"/>
      <c r="H3" s="601"/>
    </row>
    <row r="4" spans="1:8" ht="18">
      <c r="A4" s="601" t="s">
        <v>563</v>
      </c>
      <c r="B4" s="601"/>
      <c r="C4" s="601"/>
      <c r="D4" s="601"/>
      <c r="E4" s="601"/>
      <c r="F4" s="601"/>
      <c r="G4" s="601"/>
      <c r="H4" s="601"/>
    </row>
    <row r="5" spans="1:8">
      <c r="A5" s="263" t="s">
        <v>159</v>
      </c>
      <c r="B5" s="375">
        <v>2</v>
      </c>
      <c r="C5" s="263" t="s">
        <v>450</v>
      </c>
    </row>
    <row r="6" spans="1:8">
      <c r="A6" s="263" t="s">
        <v>160</v>
      </c>
      <c r="B6" s="376">
        <v>12</v>
      </c>
    </row>
    <row r="11" spans="1:8">
      <c r="A11" s="326" t="s">
        <v>0</v>
      </c>
      <c r="B11" s="327" t="s">
        <v>2</v>
      </c>
      <c r="C11" s="327" t="s">
        <v>3</v>
      </c>
      <c r="D11" s="327" t="s">
        <v>4</v>
      </c>
      <c r="E11" s="327" t="s">
        <v>5</v>
      </c>
      <c r="F11" s="327" t="s">
        <v>6</v>
      </c>
      <c r="G11" s="327" t="s">
        <v>166</v>
      </c>
      <c r="H11" s="327" t="s">
        <v>165</v>
      </c>
    </row>
    <row r="12" spans="1:8">
      <c r="A12" s="329" t="s">
        <v>167</v>
      </c>
      <c r="B12" s="358">
        <f t="shared" ref="B12:H12" si="0">(B32+B65)/($B$5*$B$6)</f>
        <v>60.044220394736847</v>
      </c>
      <c r="C12" s="358">
        <f t="shared" si="0"/>
        <v>120.08844078947369</v>
      </c>
      <c r="D12" s="358">
        <f t="shared" si="0"/>
        <v>180.1326611842106</v>
      </c>
      <c r="E12" s="358">
        <f t="shared" si="0"/>
        <v>240.17688157894739</v>
      </c>
      <c r="F12" s="358">
        <f t="shared" si="0"/>
        <v>300.2211019736842</v>
      </c>
      <c r="G12" s="358">
        <f t="shared" si="0"/>
        <v>360.26532236842104</v>
      </c>
      <c r="H12" s="358">
        <f t="shared" si="0"/>
        <v>420.30954276315788</v>
      </c>
    </row>
    <row r="13" spans="1:8">
      <c r="A13" s="298" t="str">
        <f>'10.Grain Production details'!A67</f>
        <v>Maize (Kharif)</v>
      </c>
      <c r="B13" s="359">
        <f>'10.Grain Production details'!B67</f>
        <v>373.5</v>
      </c>
      <c r="C13" s="358">
        <f>'10.Grain Production details'!C67</f>
        <v>747</v>
      </c>
      <c r="D13" s="358">
        <f>'10.Grain Production details'!D67</f>
        <v>1120.5000000000002</v>
      </c>
      <c r="E13" s="358">
        <f>'10.Grain Production details'!E67</f>
        <v>1494</v>
      </c>
      <c r="F13" s="358">
        <f>'10.Grain Production details'!F67</f>
        <v>1867.5</v>
      </c>
      <c r="G13" s="358">
        <f>'10.Grain Production details'!G67</f>
        <v>2241</v>
      </c>
      <c r="H13" s="358">
        <f>'10.Grain Production details'!H67</f>
        <v>2614.5</v>
      </c>
    </row>
    <row r="14" spans="1:8">
      <c r="A14" s="329" t="str">
        <f>'10.Grain Production details'!A68</f>
        <v>Red Gram/Tur</v>
      </c>
      <c r="B14" s="358">
        <f>'10.Grain Production details'!B68</f>
        <v>0</v>
      </c>
      <c r="C14" s="358">
        <f>'10.Grain Production details'!C68</f>
        <v>0</v>
      </c>
      <c r="D14" s="358">
        <f>'10.Grain Production details'!D68</f>
        <v>0</v>
      </c>
      <c r="E14" s="358">
        <f>'10.Grain Production details'!E68</f>
        <v>0</v>
      </c>
      <c r="F14" s="358">
        <f>'10.Grain Production details'!F68</f>
        <v>0</v>
      </c>
      <c r="G14" s="358">
        <f>'10.Grain Production details'!G68</f>
        <v>0</v>
      </c>
      <c r="H14" s="358">
        <f>'10.Grain Production details'!H68</f>
        <v>0</v>
      </c>
    </row>
    <row r="15" spans="1:8">
      <c r="A15" s="329" t="str">
        <f>'10.Grain Production details'!A69</f>
        <v>Paddy/Rice</v>
      </c>
      <c r="B15" s="358">
        <f>'10.Grain Production details'!B69</f>
        <v>0</v>
      </c>
      <c r="C15" s="358">
        <f>'10.Grain Production details'!C69</f>
        <v>0</v>
      </c>
      <c r="D15" s="358">
        <f>'10.Grain Production details'!D69</f>
        <v>0</v>
      </c>
      <c r="E15" s="358">
        <f>'10.Grain Production details'!E69</f>
        <v>0</v>
      </c>
      <c r="F15" s="358">
        <f>'10.Grain Production details'!F69</f>
        <v>0</v>
      </c>
      <c r="G15" s="358">
        <f>'10.Grain Production details'!G69</f>
        <v>0</v>
      </c>
      <c r="H15" s="358">
        <f>'10.Grain Production details'!H69</f>
        <v>0</v>
      </c>
    </row>
    <row r="16" spans="1:8">
      <c r="A16" s="329" t="str">
        <f>'10.Grain Production details'!A70</f>
        <v>Green Gram/ Moong</v>
      </c>
      <c r="B16" s="358">
        <f>'10.Grain Production details'!B70</f>
        <v>0</v>
      </c>
      <c r="C16" s="358">
        <f>'10.Grain Production details'!C70</f>
        <v>0</v>
      </c>
      <c r="D16" s="358">
        <f>'10.Grain Production details'!D70</f>
        <v>0</v>
      </c>
      <c r="E16" s="358">
        <f>'10.Grain Production details'!E70</f>
        <v>0</v>
      </c>
      <c r="F16" s="358">
        <f>'10.Grain Production details'!F70</f>
        <v>0</v>
      </c>
      <c r="G16" s="358">
        <f>'10.Grain Production details'!G70</f>
        <v>0</v>
      </c>
      <c r="H16" s="358">
        <f>'10.Grain Production details'!H70</f>
        <v>0</v>
      </c>
    </row>
    <row r="17" spans="1:8">
      <c r="A17" s="329" t="str">
        <f>'10.Grain Production details'!A71</f>
        <v>Soyabean</v>
      </c>
      <c r="B17" s="358">
        <f>'10.Grain Production details'!B71</f>
        <v>0</v>
      </c>
      <c r="C17" s="358">
        <f>'10.Grain Production details'!C71</f>
        <v>0</v>
      </c>
      <c r="D17" s="358">
        <f>'10.Grain Production details'!D71</f>
        <v>0</v>
      </c>
      <c r="E17" s="358">
        <f>'10.Grain Production details'!E71</f>
        <v>0</v>
      </c>
      <c r="F17" s="358">
        <f>'10.Grain Production details'!F71</f>
        <v>0</v>
      </c>
      <c r="G17" s="358">
        <f>'10.Grain Production details'!G71</f>
        <v>0</v>
      </c>
      <c r="H17" s="358">
        <f>'10.Grain Production details'!H71</f>
        <v>0</v>
      </c>
    </row>
    <row r="18" spans="1:8">
      <c r="A18" s="329" t="str">
        <f>'10.Grain Production details'!A72</f>
        <v>Black Gram/Udid</v>
      </c>
      <c r="B18" s="358">
        <f>'10.Grain Production details'!B72</f>
        <v>0</v>
      </c>
      <c r="C18" s="358">
        <f>'10.Grain Production details'!C72</f>
        <v>0</v>
      </c>
      <c r="D18" s="358">
        <f>'10.Grain Production details'!D72</f>
        <v>0</v>
      </c>
      <c r="E18" s="358">
        <f>'10.Grain Production details'!E72</f>
        <v>0</v>
      </c>
      <c r="F18" s="358">
        <f>'10.Grain Production details'!F72</f>
        <v>0</v>
      </c>
      <c r="G18" s="358">
        <f>'10.Grain Production details'!G72</f>
        <v>0</v>
      </c>
      <c r="H18" s="358">
        <f>'10.Grain Production details'!H72</f>
        <v>0</v>
      </c>
    </row>
    <row r="19" spans="1:8">
      <c r="A19" s="298" t="str">
        <f>'10.Grain Production details'!A73</f>
        <v>Bajra (Kharif)</v>
      </c>
      <c r="B19" s="359">
        <f>'10.Grain Production details'!B73</f>
        <v>112.05000000000001</v>
      </c>
      <c r="C19" s="358">
        <f>'10.Grain Production details'!C73</f>
        <v>224.10000000000002</v>
      </c>
      <c r="D19" s="358">
        <f>'10.Grain Production details'!D73</f>
        <v>336.15000000000003</v>
      </c>
      <c r="E19" s="358">
        <f>'10.Grain Production details'!E73</f>
        <v>448.20000000000005</v>
      </c>
      <c r="F19" s="358">
        <f>'10.Grain Production details'!F73</f>
        <v>560.25</v>
      </c>
      <c r="G19" s="358">
        <f>'10.Grain Production details'!G73</f>
        <v>672.3</v>
      </c>
      <c r="H19" s="358">
        <f>'10.Grain Production details'!H73</f>
        <v>784.34999999999991</v>
      </c>
    </row>
    <row r="20" spans="1:8">
      <c r="A20" s="329" t="str">
        <f>'10.Grain Production details'!A74</f>
        <v>Jawar</v>
      </c>
      <c r="B20" s="358">
        <f>'10.Grain Production details'!B74</f>
        <v>0</v>
      </c>
      <c r="C20" s="358">
        <f>'10.Grain Production details'!C74</f>
        <v>0</v>
      </c>
      <c r="D20" s="358">
        <f>'10.Grain Production details'!D74</f>
        <v>0</v>
      </c>
      <c r="E20" s="358">
        <f>'10.Grain Production details'!E74</f>
        <v>0</v>
      </c>
      <c r="F20" s="358">
        <f>'10.Grain Production details'!F74</f>
        <v>0</v>
      </c>
      <c r="G20" s="358">
        <f>'10.Grain Production details'!G74</f>
        <v>0</v>
      </c>
      <c r="H20" s="358">
        <f>'10.Grain Production details'!H74</f>
        <v>0</v>
      </c>
    </row>
    <row r="21" spans="1:8">
      <c r="A21" s="329" t="str">
        <f>'10.Grain Production details'!A75</f>
        <v>Sunflower</v>
      </c>
      <c r="B21" s="358">
        <f>'10.Grain Production details'!B75</f>
        <v>0</v>
      </c>
      <c r="C21" s="358">
        <f>'10.Grain Production details'!C75</f>
        <v>0</v>
      </c>
      <c r="D21" s="358">
        <f>'10.Grain Production details'!D75</f>
        <v>0</v>
      </c>
      <c r="E21" s="358">
        <f>'10.Grain Production details'!E75</f>
        <v>0</v>
      </c>
      <c r="F21" s="358">
        <f>'10.Grain Production details'!F75</f>
        <v>0</v>
      </c>
      <c r="G21" s="358">
        <f>'10.Grain Production details'!G75</f>
        <v>0</v>
      </c>
      <c r="H21" s="358">
        <f>'10.Grain Production details'!H75</f>
        <v>0</v>
      </c>
    </row>
    <row r="22" spans="1:8">
      <c r="A22" s="516" t="str">
        <f>'10.Grain Production details'!A76</f>
        <v>Maize (Rabbi)</v>
      </c>
      <c r="B22" s="358">
        <f>'10.Grain Production details'!B76</f>
        <v>261.45</v>
      </c>
      <c r="C22" s="358">
        <f>'10.Grain Production details'!C76</f>
        <v>522.9</v>
      </c>
      <c r="D22" s="358">
        <f>'10.Grain Production details'!D76</f>
        <v>784.35</v>
      </c>
      <c r="E22" s="358">
        <f>'10.Grain Production details'!E76</f>
        <v>1045.8</v>
      </c>
      <c r="F22" s="358">
        <f>'10.Grain Production details'!F76</f>
        <v>1307.2499999999998</v>
      </c>
      <c r="G22" s="358">
        <f>'10.Grain Production details'!G76</f>
        <v>1568.6999999999996</v>
      </c>
      <c r="H22" s="358">
        <f>'10.Grain Production details'!H76</f>
        <v>1830.1499999999996</v>
      </c>
    </row>
    <row r="23" spans="1:8">
      <c r="A23" s="516" t="str">
        <f>'10.Grain Production details'!A77</f>
        <v>Gram (Rabbi)</v>
      </c>
      <c r="B23" s="358">
        <f>'10.Grain Production details'!B77</f>
        <v>89.64</v>
      </c>
      <c r="C23" s="358">
        <f>'10.Grain Production details'!C77</f>
        <v>179.28</v>
      </c>
      <c r="D23" s="358">
        <f>'10.Grain Production details'!D77</f>
        <v>268.92</v>
      </c>
      <c r="E23" s="358">
        <f>'10.Grain Production details'!E77</f>
        <v>358.55999999999995</v>
      </c>
      <c r="F23" s="358">
        <f>'10.Grain Production details'!F77</f>
        <v>448.19999999999993</v>
      </c>
      <c r="G23" s="358">
        <f>'10.Grain Production details'!G77</f>
        <v>537.83999999999992</v>
      </c>
      <c r="H23" s="358">
        <f>'10.Grain Production details'!H77</f>
        <v>627.4799999999999</v>
      </c>
    </row>
    <row r="24" spans="1:8">
      <c r="A24" s="516" t="str">
        <f>'10.Grain Production details'!A78</f>
        <v>Wheat (Rabbi)</v>
      </c>
      <c r="B24" s="358">
        <f>'10.Grain Production details'!B78</f>
        <v>179.28</v>
      </c>
      <c r="C24" s="358">
        <f>'10.Grain Production details'!C78</f>
        <v>358.56</v>
      </c>
      <c r="D24" s="358">
        <f>'10.Grain Production details'!D78</f>
        <v>537.84</v>
      </c>
      <c r="E24" s="358">
        <f>'10.Grain Production details'!E78</f>
        <v>717.11999999999989</v>
      </c>
      <c r="F24" s="358">
        <f>'10.Grain Production details'!F78</f>
        <v>896.39999999999986</v>
      </c>
      <c r="G24" s="358">
        <f>'10.Grain Production details'!G78</f>
        <v>1075.6799999999998</v>
      </c>
      <c r="H24" s="358">
        <f>'10.Grain Production details'!H78</f>
        <v>1254.9599999999998</v>
      </c>
    </row>
    <row r="25" spans="1:8">
      <c r="A25" s="357">
        <f>'10.Grain Production details'!A79</f>
        <v>0</v>
      </c>
      <c r="B25" s="358">
        <f>'10.Grain Production details'!B79</f>
        <v>0</v>
      </c>
      <c r="C25" s="358">
        <f>'10.Grain Production details'!C79</f>
        <v>0</v>
      </c>
      <c r="D25" s="358">
        <f>'10.Grain Production details'!D79</f>
        <v>0</v>
      </c>
      <c r="E25" s="358">
        <f>'10.Grain Production details'!E79</f>
        <v>0</v>
      </c>
      <c r="F25" s="358">
        <f>'10.Grain Production details'!F79</f>
        <v>0</v>
      </c>
      <c r="G25" s="358">
        <f>'10.Grain Production details'!G79</f>
        <v>0</v>
      </c>
      <c r="H25" s="358">
        <f>'10.Grain Production details'!H79</f>
        <v>0</v>
      </c>
    </row>
    <row r="26" spans="1:8">
      <c r="A26" s="357">
        <f>'10.Grain Production details'!A80</f>
        <v>0</v>
      </c>
      <c r="B26" s="358">
        <f>'10.Grain Production details'!B80</f>
        <v>0</v>
      </c>
      <c r="C26" s="358">
        <f>'10.Grain Production details'!C80</f>
        <v>0</v>
      </c>
      <c r="D26" s="358">
        <f>'10.Grain Production details'!D80</f>
        <v>0</v>
      </c>
      <c r="E26" s="358">
        <f>'10.Grain Production details'!E80</f>
        <v>0</v>
      </c>
      <c r="F26" s="358">
        <f>'10.Grain Production details'!F80</f>
        <v>0</v>
      </c>
      <c r="G26" s="358">
        <f>'10.Grain Production details'!G80</f>
        <v>0</v>
      </c>
      <c r="H26" s="358">
        <f>'10.Grain Production details'!H80</f>
        <v>0</v>
      </c>
    </row>
    <row r="27" spans="1:8">
      <c r="A27" s="357">
        <f>'10.Grain Production details'!A81</f>
        <v>0</v>
      </c>
      <c r="B27" s="358">
        <f>'10.Grain Production details'!B81</f>
        <v>0</v>
      </c>
      <c r="C27" s="358">
        <f>'10.Grain Production details'!C81</f>
        <v>0</v>
      </c>
      <c r="D27" s="358">
        <f>'10.Grain Production details'!D81</f>
        <v>0</v>
      </c>
      <c r="E27" s="358">
        <f>'10.Grain Production details'!E81</f>
        <v>0</v>
      </c>
      <c r="F27" s="358">
        <f>'10.Grain Production details'!F81</f>
        <v>0</v>
      </c>
      <c r="G27" s="358">
        <f>'10.Grain Production details'!G81</f>
        <v>0</v>
      </c>
      <c r="H27" s="358">
        <f>'10.Grain Production details'!H81</f>
        <v>0</v>
      </c>
    </row>
    <row r="28" spans="1:8">
      <c r="A28" s="357">
        <f>'10.Grain Production details'!A82</f>
        <v>0</v>
      </c>
      <c r="B28" s="358">
        <f>'10.Grain Production details'!B82</f>
        <v>0</v>
      </c>
      <c r="C28" s="358">
        <f>'10.Grain Production details'!C82</f>
        <v>0</v>
      </c>
      <c r="D28" s="358">
        <f>'10.Grain Production details'!D82</f>
        <v>0</v>
      </c>
      <c r="E28" s="358">
        <f>'10.Grain Production details'!E82</f>
        <v>0</v>
      </c>
      <c r="F28" s="358">
        <f>'10.Grain Production details'!F82</f>
        <v>0</v>
      </c>
      <c r="G28" s="358">
        <f>'10.Grain Production details'!G82</f>
        <v>0</v>
      </c>
      <c r="H28" s="358">
        <f>'10.Grain Production details'!H82</f>
        <v>0</v>
      </c>
    </row>
    <row r="29" spans="1:8">
      <c r="A29" s="357">
        <f>'10.Grain Production details'!A83</f>
        <v>0</v>
      </c>
      <c r="B29" s="358">
        <f>'10.Grain Production details'!B83</f>
        <v>0</v>
      </c>
      <c r="C29" s="358">
        <f>'10.Grain Production details'!C83</f>
        <v>0</v>
      </c>
      <c r="D29" s="358">
        <f>'10.Grain Production details'!D83</f>
        <v>0</v>
      </c>
      <c r="E29" s="358">
        <f>'10.Grain Production details'!E83</f>
        <v>0</v>
      </c>
      <c r="F29" s="358">
        <f>'10.Grain Production details'!F83</f>
        <v>0</v>
      </c>
      <c r="G29" s="358">
        <f>'10.Grain Production details'!G83</f>
        <v>0</v>
      </c>
      <c r="H29" s="358">
        <f>'10.Grain Production details'!H83</f>
        <v>0</v>
      </c>
    </row>
    <row r="30" spans="1:8">
      <c r="A30" s="520" t="str">
        <f>'10.Grain Production details'!A84</f>
        <v>Maize (Summer)</v>
      </c>
      <c r="B30" s="358">
        <f>'10.Grain Production details'!B84</f>
        <v>224.10000000000002</v>
      </c>
      <c r="C30" s="358">
        <f>'10.Grain Production details'!C84</f>
        <v>448.20000000000005</v>
      </c>
      <c r="D30" s="358">
        <f>'10.Grain Production details'!D84</f>
        <v>672.30000000000007</v>
      </c>
      <c r="E30" s="358">
        <f>'10.Grain Production details'!E84</f>
        <v>896.40000000000009</v>
      </c>
      <c r="F30" s="358">
        <f>'10.Grain Production details'!F84</f>
        <v>1120.5</v>
      </c>
      <c r="G30" s="358">
        <f>'10.Grain Production details'!G84</f>
        <v>1344.6</v>
      </c>
      <c r="H30" s="358">
        <f>'10.Grain Production details'!H84</f>
        <v>1568.6999999999998</v>
      </c>
    </row>
    <row r="31" spans="1:8">
      <c r="A31" s="520" t="str">
        <f>'10.Grain Production details'!A85</f>
        <v>Jawar (Summer)</v>
      </c>
      <c r="B31" s="358">
        <f>'10.Grain Production details'!B85</f>
        <v>191.60550000000001</v>
      </c>
      <c r="C31" s="358">
        <f>'10.Grain Production details'!C85</f>
        <v>383.21100000000001</v>
      </c>
      <c r="D31" s="358">
        <f>'10.Grain Production details'!D85</f>
        <v>574.81650000000013</v>
      </c>
      <c r="E31" s="358">
        <f>'10.Grain Production details'!E85</f>
        <v>766.42200000000003</v>
      </c>
      <c r="F31" s="358">
        <f>'10.Grain Production details'!F85</f>
        <v>958.02750000000003</v>
      </c>
      <c r="G31" s="358">
        <f>'10.Grain Production details'!G85</f>
        <v>1149.633</v>
      </c>
      <c r="H31" s="358">
        <f>'10.Grain Production details'!H85</f>
        <v>1341.2384999999999</v>
      </c>
    </row>
    <row r="32" spans="1:8">
      <c r="A32" s="332" t="s">
        <v>443</v>
      </c>
      <c r="B32" s="359">
        <f>SUM(B13:B31)</f>
        <v>1431.6255000000001</v>
      </c>
      <c r="C32" s="359">
        <f t="shared" ref="C32:H32" si="1">SUM(C13:C31)</f>
        <v>2863.2510000000002</v>
      </c>
      <c r="D32" s="359">
        <f t="shared" si="1"/>
        <v>4294.8765000000012</v>
      </c>
      <c r="E32" s="359">
        <f t="shared" si="1"/>
        <v>5726.5020000000004</v>
      </c>
      <c r="F32" s="359">
        <f t="shared" si="1"/>
        <v>7158.1274999999996</v>
      </c>
      <c r="G32" s="359">
        <f t="shared" si="1"/>
        <v>8589.7530000000006</v>
      </c>
      <c r="H32" s="359">
        <f t="shared" si="1"/>
        <v>10021.378499999999</v>
      </c>
    </row>
    <row r="33" spans="1:8">
      <c r="A33" s="342" t="s">
        <v>163</v>
      </c>
      <c r="B33" s="343">
        <v>0</v>
      </c>
      <c r="C33" s="343">
        <f>B33</f>
        <v>0</v>
      </c>
      <c r="D33" s="343">
        <f t="shared" ref="D33:H33" si="2">C33</f>
        <v>0</v>
      </c>
      <c r="E33" s="343">
        <f t="shared" si="2"/>
        <v>0</v>
      </c>
      <c r="F33" s="343">
        <f t="shared" si="2"/>
        <v>0</v>
      </c>
      <c r="G33" s="343">
        <f t="shared" si="2"/>
        <v>0</v>
      </c>
      <c r="H33" s="343">
        <f t="shared" si="2"/>
        <v>0</v>
      </c>
    </row>
    <row r="34" spans="1:8">
      <c r="A34" s="280" t="s">
        <v>451</v>
      </c>
      <c r="B34" s="407">
        <f>1-B33</f>
        <v>1</v>
      </c>
      <c r="C34" s="407">
        <f t="shared" ref="C34:H34" si="3">1-C33</f>
        <v>1</v>
      </c>
      <c r="D34" s="407">
        <f t="shared" si="3"/>
        <v>1</v>
      </c>
      <c r="E34" s="407">
        <f t="shared" si="3"/>
        <v>1</v>
      </c>
      <c r="F34" s="407">
        <f t="shared" si="3"/>
        <v>1</v>
      </c>
      <c r="G34" s="407">
        <f t="shared" si="3"/>
        <v>1</v>
      </c>
      <c r="H34" s="407">
        <f t="shared" si="3"/>
        <v>1</v>
      </c>
    </row>
    <row r="35" spans="1:8">
      <c r="A35" s="332" t="s">
        <v>788</v>
      </c>
      <c r="B35" s="389">
        <f>B32*B33</f>
        <v>0</v>
      </c>
      <c r="C35" s="389">
        <f t="shared" ref="C35:H35" si="4">C32*C33</f>
        <v>0</v>
      </c>
      <c r="D35" s="389">
        <f t="shared" si="4"/>
        <v>0</v>
      </c>
      <c r="E35" s="389">
        <f t="shared" si="4"/>
        <v>0</v>
      </c>
      <c r="F35" s="389">
        <f t="shared" si="4"/>
        <v>0</v>
      </c>
      <c r="G35" s="389">
        <f t="shared" si="4"/>
        <v>0</v>
      </c>
      <c r="H35" s="389">
        <f t="shared" si="4"/>
        <v>0</v>
      </c>
    </row>
    <row r="36" spans="1:8">
      <c r="A36" s="332" t="s">
        <v>787</v>
      </c>
      <c r="B36" s="359"/>
      <c r="C36" s="359"/>
      <c r="D36" s="359"/>
      <c r="E36" s="359"/>
      <c r="F36" s="359"/>
      <c r="G36" s="359"/>
      <c r="H36" s="359"/>
    </row>
    <row r="37" spans="1:8">
      <c r="A37" s="298" t="str">
        <f t="shared" ref="A37:A55" si="5">A13</f>
        <v>Maize (Kharif)</v>
      </c>
      <c r="B37" s="465">
        <f t="shared" ref="B37:B55" si="6">B13*$B$34</f>
        <v>373.5</v>
      </c>
      <c r="C37" s="465">
        <f t="shared" ref="C37:H37" si="7">C13*$B$34</f>
        <v>747</v>
      </c>
      <c r="D37" s="465">
        <f t="shared" si="7"/>
        <v>1120.5000000000002</v>
      </c>
      <c r="E37" s="465">
        <f t="shared" si="7"/>
        <v>1494</v>
      </c>
      <c r="F37" s="465">
        <f t="shared" si="7"/>
        <v>1867.5</v>
      </c>
      <c r="G37" s="465">
        <f t="shared" si="7"/>
        <v>2241</v>
      </c>
      <c r="H37" s="465">
        <f t="shared" si="7"/>
        <v>2614.5</v>
      </c>
    </row>
    <row r="38" spans="1:8">
      <c r="A38" s="329" t="str">
        <f t="shared" si="5"/>
        <v>Red Gram/Tur</v>
      </c>
      <c r="B38" s="358">
        <f t="shared" si="6"/>
        <v>0</v>
      </c>
      <c r="C38" s="358">
        <f t="shared" ref="C38:C55" si="8">C14*$C$34</f>
        <v>0</v>
      </c>
      <c r="D38" s="358">
        <f t="shared" ref="D38:D55" si="9">D14*$D$34</f>
        <v>0</v>
      </c>
      <c r="E38" s="358">
        <f t="shared" ref="E38:E55" si="10">E14*$E$34</f>
        <v>0</v>
      </c>
      <c r="F38" s="358">
        <f t="shared" ref="F38:F55" si="11">F14*$F$34</f>
        <v>0</v>
      </c>
      <c r="G38" s="358">
        <f t="shared" ref="G38:G55" si="12">G14*$G$34</f>
        <v>0</v>
      </c>
      <c r="H38" s="358">
        <f t="shared" ref="H38:H55" si="13">H14*$H$34</f>
        <v>0</v>
      </c>
    </row>
    <row r="39" spans="1:8">
      <c r="A39" s="329" t="str">
        <f t="shared" si="5"/>
        <v>Paddy/Rice</v>
      </c>
      <c r="B39" s="358">
        <f t="shared" si="6"/>
        <v>0</v>
      </c>
      <c r="C39" s="358">
        <f t="shared" si="8"/>
        <v>0</v>
      </c>
      <c r="D39" s="358">
        <f t="shared" si="9"/>
        <v>0</v>
      </c>
      <c r="E39" s="358">
        <f t="shared" si="10"/>
        <v>0</v>
      </c>
      <c r="F39" s="358">
        <f t="shared" si="11"/>
        <v>0</v>
      </c>
      <c r="G39" s="358">
        <f t="shared" si="12"/>
        <v>0</v>
      </c>
      <c r="H39" s="358">
        <f t="shared" si="13"/>
        <v>0</v>
      </c>
    </row>
    <row r="40" spans="1:8">
      <c r="A40" s="329" t="str">
        <f t="shared" si="5"/>
        <v>Green Gram/ Moong</v>
      </c>
      <c r="B40" s="358">
        <f t="shared" si="6"/>
        <v>0</v>
      </c>
      <c r="C40" s="358">
        <f t="shared" si="8"/>
        <v>0</v>
      </c>
      <c r="D40" s="358">
        <f t="shared" si="9"/>
        <v>0</v>
      </c>
      <c r="E40" s="358">
        <f t="shared" si="10"/>
        <v>0</v>
      </c>
      <c r="F40" s="358">
        <f t="shared" si="11"/>
        <v>0</v>
      </c>
      <c r="G40" s="358">
        <f t="shared" si="12"/>
        <v>0</v>
      </c>
      <c r="H40" s="358">
        <f t="shared" si="13"/>
        <v>0</v>
      </c>
    </row>
    <row r="41" spans="1:8">
      <c r="A41" s="329" t="str">
        <f t="shared" si="5"/>
        <v>Soyabean</v>
      </c>
      <c r="B41" s="358">
        <f t="shared" si="6"/>
        <v>0</v>
      </c>
      <c r="C41" s="358">
        <f t="shared" si="8"/>
        <v>0</v>
      </c>
      <c r="D41" s="358">
        <f t="shared" si="9"/>
        <v>0</v>
      </c>
      <c r="E41" s="358">
        <f t="shared" si="10"/>
        <v>0</v>
      </c>
      <c r="F41" s="358">
        <f t="shared" si="11"/>
        <v>0</v>
      </c>
      <c r="G41" s="358">
        <f t="shared" si="12"/>
        <v>0</v>
      </c>
      <c r="H41" s="358">
        <f t="shared" si="13"/>
        <v>0</v>
      </c>
    </row>
    <row r="42" spans="1:8">
      <c r="A42" s="329" t="str">
        <f t="shared" si="5"/>
        <v>Black Gram/Udid</v>
      </c>
      <c r="B42" s="358">
        <f t="shared" si="6"/>
        <v>0</v>
      </c>
      <c r="C42" s="358">
        <f t="shared" si="8"/>
        <v>0</v>
      </c>
      <c r="D42" s="358">
        <f t="shared" si="9"/>
        <v>0</v>
      </c>
      <c r="E42" s="358">
        <f t="shared" si="10"/>
        <v>0</v>
      </c>
      <c r="F42" s="358">
        <f t="shared" si="11"/>
        <v>0</v>
      </c>
      <c r="G42" s="358">
        <f t="shared" si="12"/>
        <v>0</v>
      </c>
      <c r="H42" s="358">
        <f t="shared" si="13"/>
        <v>0</v>
      </c>
    </row>
    <row r="43" spans="1:8">
      <c r="A43" s="524" t="str">
        <f t="shared" si="5"/>
        <v>Bajra (Kharif)</v>
      </c>
      <c r="B43" s="525">
        <f t="shared" si="6"/>
        <v>112.05000000000001</v>
      </c>
      <c r="C43" s="525">
        <f t="shared" si="8"/>
        <v>224.10000000000002</v>
      </c>
      <c r="D43" s="525">
        <f t="shared" si="9"/>
        <v>336.15000000000003</v>
      </c>
      <c r="E43" s="525">
        <f t="shared" si="10"/>
        <v>448.20000000000005</v>
      </c>
      <c r="F43" s="525">
        <f t="shared" si="11"/>
        <v>560.25</v>
      </c>
      <c r="G43" s="525">
        <f t="shared" si="12"/>
        <v>672.3</v>
      </c>
      <c r="H43" s="525">
        <f t="shared" si="13"/>
        <v>784.34999999999991</v>
      </c>
    </row>
    <row r="44" spans="1:8">
      <c r="A44" s="329" t="str">
        <f t="shared" si="5"/>
        <v>Jawar</v>
      </c>
      <c r="B44" s="358">
        <f t="shared" si="6"/>
        <v>0</v>
      </c>
      <c r="C44" s="358">
        <f t="shared" si="8"/>
        <v>0</v>
      </c>
      <c r="D44" s="358">
        <f t="shared" si="9"/>
        <v>0</v>
      </c>
      <c r="E44" s="358">
        <f t="shared" si="10"/>
        <v>0</v>
      </c>
      <c r="F44" s="358">
        <f t="shared" si="11"/>
        <v>0</v>
      </c>
      <c r="G44" s="358">
        <f t="shared" si="12"/>
        <v>0</v>
      </c>
      <c r="H44" s="358">
        <f t="shared" si="13"/>
        <v>0</v>
      </c>
    </row>
    <row r="45" spans="1:8">
      <c r="A45" s="329" t="str">
        <f t="shared" si="5"/>
        <v>Sunflower</v>
      </c>
      <c r="B45" s="358">
        <f t="shared" si="6"/>
        <v>0</v>
      </c>
      <c r="C45" s="358">
        <f t="shared" si="8"/>
        <v>0</v>
      </c>
      <c r="D45" s="358">
        <f t="shared" si="9"/>
        <v>0</v>
      </c>
      <c r="E45" s="358">
        <f t="shared" si="10"/>
        <v>0</v>
      </c>
      <c r="F45" s="358">
        <f t="shared" si="11"/>
        <v>0</v>
      </c>
      <c r="G45" s="358">
        <f t="shared" si="12"/>
        <v>0</v>
      </c>
      <c r="H45" s="358">
        <f t="shared" si="13"/>
        <v>0</v>
      </c>
    </row>
    <row r="46" spans="1:8">
      <c r="A46" s="298" t="str">
        <f t="shared" si="5"/>
        <v>Maize (Rabbi)</v>
      </c>
      <c r="B46" s="465">
        <f t="shared" si="6"/>
        <v>261.45</v>
      </c>
      <c r="C46" s="465">
        <f t="shared" si="8"/>
        <v>522.9</v>
      </c>
      <c r="D46" s="465">
        <f t="shared" si="9"/>
        <v>784.35</v>
      </c>
      <c r="E46" s="465">
        <f t="shared" si="10"/>
        <v>1045.8</v>
      </c>
      <c r="F46" s="465">
        <f t="shared" si="11"/>
        <v>1307.2499999999998</v>
      </c>
      <c r="G46" s="465">
        <f t="shared" si="12"/>
        <v>1568.6999999999996</v>
      </c>
      <c r="H46" s="465">
        <f t="shared" si="13"/>
        <v>1830.1499999999996</v>
      </c>
    </row>
    <row r="47" spans="1:8">
      <c r="A47" s="329" t="str">
        <f t="shared" si="5"/>
        <v>Gram (Rabbi)</v>
      </c>
      <c r="B47" s="359">
        <f t="shared" si="6"/>
        <v>89.64</v>
      </c>
      <c r="C47" s="358">
        <f t="shared" si="8"/>
        <v>179.28</v>
      </c>
      <c r="D47" s="358">
        <f t="shared" si="9"/>
        <v>268.92</v>
      </c>
      <c r="E47" s="358">
        <f t="shared" si="10"/>
        <v>358.55999999999995</v>
      </c>
      <c r="F47" s="358">
        <f t="shared" si="11"/>
        <v>448.19999999999993</v>
      </c>
      <c r="G47" s="358">
        <f t="shared" si="12"/>
        <v>537.83999999999992</v>
      </c>
      <c r="H47" s="358">
        <f t="shared" si="13"/>
        <v>627.4799999999999</v>
      </c>
    </row>
    <row r="48" spans="1:8">
      <c r="A48" s="516" t="str">
        <f t="shared" si="5"/>
        <v>Wheat (Rabbi)</v>
      </c>
      <c r="B48" s="523">
        <f t="shared" si="6"/>
        <v>179.28</v>
      </c>
      <c r="C48" s="523">
        <f t="shared" si="8"/>
        <v>358.56</v>
      </c>
      <c r="D48" s="523">
        <f t="shared" si="9"/>
        <v>537.84</v>
      </c>
      <c r="E48" s="523">
        <f t="shared" si="10"/>
        <v>717.11999999999989</v>
      </c>
      <c r="F48" s="523">
        <f t="shared" si="11"/>
        <v>896.39999999999986</v>
      </c>
      <c r="G48" s="523">
        <f t="shared" si="12"/>
        <v>1075.6799999999998</v>
      </c>
      <c r="H48" s="523">
        <f t="shared" si="13"/>
        <v>1254.9599999999998</v>
      </c>
    </row>
    <row r="49" spans="1:8">
      <c r="A49" s="357">
        <f t="shared" si="5"/>
        <v>0</v>
      </c>
      <c r="B49" s="358">
        <f t="shared" si="6"/>
        <v>0</v>
      </c>
      <c r="C49" s="358">
        <f t="shared" si="8"/>
        <v>0</v>
      </c>
      <c r="D49" s="358">
        <f t="shared" si="9"/>
        <v>0</v>
      </c>
      <c r="E49" s="358">
        <f t="shared" si="10"/>
        <v>0</v>
      </c>
      <c r="F49" s="358">
        <f t="shared" si="11"/>
        <v>0</v>
      </c>
      <c r="G49" s="358">
        <f t="shared" si="12"/>
        <v>0</v>
      </c>
      <c r="H49" s="358">
        <f t="shared" si="13"/>
        <v>0</v>
      </c>
    </row>
    <row r="50" spans="1:8">
      <c r="A50" s="357">
        <f t="shared" si="5"/>
        <v>0</v>
      </c>
      <c r="B50" s="358">
        <f t="shared" si="6"/>
        <v>0</v>
      </c>
      <c r="C50" s="358">
        <f t="shared" si="8"/>
        <v>0</v>
      </c>
      <c r="D50" s="358">
        <f t="shared" si="9"/>
        <v>0</v>
      </c>
      <c r="E50" s="358">
        <f t="shared" si="10"/>
        <v>0</v>
      </c>
      <c r="F50" s="358">
        <f t="shared" si="11"/>
        <v>0</v>
      </c>
      <c r="G50" s="358">
        <f t="shared" si="12"/>
        <v>0</v>
      </c>
      <c r="H50" s="358">
        <f t="shared" si="13"/>
        <v>0</v>
      </c>
    </row>
    <row r="51" spans="1:8">
      <c r="A51" s="357">
        <f t="shared" si="5"/>
        <v>0</v>
      </c>
      <c r="B51" s="358">
        <f t="shared" si="6"/>
        <v>0</v>
      </c>
      <c r="C51" s="358">
        <f t="shared" si="8"/>
        <v>0</v>
      </c>
      <c r="D51" s="358">
        <f t="shared" si="9"/>
        <v>0</v>
      </c>
      <c r="E51" s="358">
        <f t="shared" si="10"/>
        <v>0</v>
      </c>
      <c r="F51" s="358">
        <f t="shared" si="11"/>
        <v>0</v>
      </c>
      <c r="G51" s="358">
        <f t="shared" si="12"/>
        <v>0</v>
      </c>
      <c r="H51" s="358">
        <f t="shared" si="13"/>
        <v>0</v>
      </c>
    </row>
    <row r="52" spans="1:8">
      <c r="A52" s="357">
        <f t="shared" si="5"/>
        <v>0</v>
      </c>
      <c r="B52" s="358">
        <f t="shared" si="6"/>
        <v>0</v>
      </c>
      <c r="C52" s="358">
        <f t="shared" si="8"/>
        <v>0</v>
      </c>
      <c r="D52" s="358">
        <f t="shared" si="9"/>
        <v>0</v>
      </c>
      <c r="E52" s="358">
        <f t="shared" si="10"/>
        <v>0</v>
      </c>
      <c r="F52" s="358">
        <f t="shared" si="11"/>
        <v>0</v>
      </c>
      <c r="G52" s="358">
        <f t="shared" si="12"/>
        <v>0</v>
      </c>
      <c r="H52" s="358">
        <f t="shared" si="13"/>
        <v>0</v>
      </c>
    </row>
    <row r="53" spans="1:8">
      <c r="A53" s="357">
        <f t="shared" si="5"/>
        <v>0</v>
      </c>
      <c r="B53" s="358">
        <f t="shared" si="6"/>
        <v>0</v>
      </c>
      <c r="C53" s="358">
        <f t="shared" si="8"/>
        <v>0</v>
      </c>
      <c r="D53" s="358">
        <f t="shared" si="9"/>
        <v>0</v>
      </c>
      <c r="E53" s="358">
        <f t="shared" si="10"/>
        <v>0</v>
      </c>
      <c r="F53" s="358">
        <f t="shared" si="11"/>
        <v>0</v>
      </c>
      <c r="G53" s="358">
        <f t="shared" si="12"/>
        <v>0</v>
      </c>
      <c r="H53" s="358">
        <f t="shared" si="13"/>
        <v>0</v>
      </c>
    </row>
    <row r="54" spans="1:8">
      <c r="A54" s="298" t="str">
        <f t="shared" si="5"/>
        <v>Maize (Summer)</v>
      </c>
      <c r="B54" s="465">
        <f t="shared" si="6"/>
        <v>224.10000000000002</v>
      </c>
      <c r="C54" s="465">
        <f t="shared" si="8"/>
        <v>448.20000000000005</v>
      </c>
      <c r="D54" s="465">
        <f t="shared" si="9"/>
        <v>672.30000000000007</v>
      </c>
      <c r="E54" s="465">
        <f t="shared" si="10"/>
        <v>896.40000000000009</v>
      </c>
      <c r="F54" s="465">
        <f t="shared" si="11"/>
        <v>1120.5</v>
      </c>
      <c r="G54" s="465">
        <f t="shared" si="12"/>
        <v>1344.6</v>
      </c>
      <c r="H54" s="465">
        <f t="shared" si="13"/>
        <v>1568.6999999999998</v>
      </c>
    </row>
    <row r="55" spans="1:8">
      <c r="A55" s="524" t="str">
        <f t="shared" si="5"/>
        <v>Jawar (Summer)</v>
      </c>
      <c r="B55" s="525">
        <f t="shared" si="6"/>
        <v>191.60550000000001</v>
      </c>
      <c r="C55" s="525">
        <f t="shared" si="8"/>
        <v>383.21100000000001</v>
      </c>
      <c r="D55" s="525">
        <f t="shared" si="9"/>
        <v>574.81650000000013</v>
      </c>
      <c r="E55" s="525">
        <f t="shared" si="10"/>
        <v>766.42200000000003</v>
      </c>
      <c r="F55" s="525">
        <f t="shared" si="11"/>
        <v>958.02750000000003</v>
      </c>
      <c r="G55" s="525">
        <f t="shared" si="12"/>
        <v>1149.633</v>
      </c>
      <c r="H55" s="525">
        <f t="shared" si="13"/>
        <v>1341.2384999999999</v>
      </c>
    </row>
    <row r="56" spans="1:8">
      <c r="A56" s="329"/>
      <c r="B56" s="329"/>
      <c r="C56" s="329"/>
      <c r="D56" s="329"/>
      <c r="E56" s="329"/>
      <c r="F56" s="329"/>
      <c r="G56" s="329"/>
      <c r="H56" s="329"/>
    </row>
    <row r="57" spans="1:8">
      <c r="A57" s="521" t="s">
        <v>278</v>
      </c>
      <c r="B57" s="522"/>
      <c r="C57" s="522"/>
      <c r="D57" s="522"/>
      <c r="E57" s="522"/>
      <c r="F57" s="522"/>
      <c r="G57" s="522"/>
      <c r="H57" s="522"/>
    </row>
    <row r="58" spans="1:8">
      <c r="A58" s="298" t="str">
        <f>A37</f>
        <v>Maize (Kharif)</v>
      </c>
      <c r="B58" s="465">
        <f t="shared" ref="B58:H58" si="14">(B37+B46+B54)</f>
        <v>859.05000000000007</v>
      </c>
      <c r="C58" s="465">
        <f t="shared" si="14"/>
        <v>1718.1000000000001</v>
      </c>
      <c r="D58" s="465">
        <f t="shared" si="14"/>
        <v>2577.1500000000005</v>
      </c>
      <c r="E58" s="465">
        <f t="shared" si="14"/>
        <v>3436.2000000000003</v>
      </c>
      <c r="F58" s="465">
        <f t="shared" si="14"/>
        <v>4295.25</v>
      </c>
      <c r="G58" s="465">
        <f t="shared" si="14"/>
        <v>5154.2999999999993</v>
      </c>
      <c r="H58" s="465">
        <f t="shared" si="14"/>
        <v>6013.3499999999995</v>
      </c>
    </row>
    <row r="59" spans="1:8">
      <c r="A59" s="298" t="s">
        <v>714</v>
      </c>
      <c r="B59" s="465">
        <v>0</v>
      </c>
      <c r="C59" s="465">
        <v>0</v>
      </c>
      <c r="D59" s="465">
        <v>0</v>
      </c>
      <c r="E59" s="465">
        <v>0</v>
      </c>
      <c r="F59" s="465">
        <v>0</v>
      </c>
      <c r="G59" s="465">
        <v>0</v>
      </c>
      <c r="H59" s="465">
        <v>0</v>
      </c>
    </row>
    <row r="60" spans="1:8">
      <c r="A60" s="298"/>
      <c r="B60" s="465">
        <v>0</v>
      </c>
      <c r="C60" s="465">
        <v>0</v>
      </c>
      <c r="D60" s="465">
        <v>0</v>
      </c>
      <c r="E60" s="465">
        <v>0</v>
      </c>
      <c r="F60" s="465">
        <v>0</v>
      </c>
      <c r="G60" s="465">
        <v>0</v>
      </c>
      <c r="H60" s="465">
        <v>0</v>
      </c>
    </row>
    <row r="61" spans="1:8">
      <c r="A61" s="361" t="s">
        <v>1</v>
      </c>
      <c r="B61" s="529">
        <f>B58+B59+B60</f>
        <v>859.05000000000007</v>
      </c>
      <c r="C61" s="529">
        <f t="shared" ref="C61:H61" si="15">C58+C59+C60</f>
        <v>1718.1000000000001</v>
      </c>
      <c r="D61" s="529">
        <f t="shared" si="15"/>
        <v>2577.1500000000005</v>
      </c>
      <c r="E61" s="529">
        <f t="shared" si="15"/>
        <v>3436.2000000000003</v>
      </c>
      <c r="F61" s="529">
        <f t="shared" si="15"/>
        <v>4295.25</v>
      </c>
      <c r="G61" s="529">
        <f t="shared" si="15"/>
        <v>5154.2999999999993</v>
      </c>
      <c r="H61" s="529">
        <f t="shared" si="15"/>
        <v>6013.3499999999995</v>
      </c>
    </row>
    <row r="62" spans="1:8">
      <c r="A62" s="329"/>
      <c r="B62" s="358"/>
      <c r="C62" s="358"/>
      <c r="D62" s="358"/>
      <c r="E62" s="358"/>
      <c r="F62" s="358"/>
      <c r="G62" s="358"/>
      <c r="H62" s="358"/>
    </row>
    <row r="63" spans="1:8">
      <c r="A63" s="329"/>
      <c r="B63" s="408"/>
      <c r="C63" s="408"/>
      <c r="D63" s="408"/>
      <c r="E63" s="408"/>
      <c r="F63" s="408"/>
      <c r="G63" s="408"/>
      <c r="H63" s="408"/>
    </row>
    <row r="64" spans="1:8">
      <c r="A64" s="516" t="str">
        <f t="shared" ref="A64:H64" si="16">A48</f>
        <v>Wheat (Rabbi)</v>
      </c>
      <c r="B64" s="523">
        <f t="shared" si="16"/>
        <v>179.28</v>
      </c>
      <c r="C64" s="523">
        <f t="shared" si="16"/>
        <v>358.56</v>
      </c>
      <c r="D64" s="523">
        <f t="shared" si="16"/>
        <v>537.84</v>
      </c>
      <c r="E64" s="523">
        <f t="shared" si="16"/>
        <v>717.11999999999989</v>
      </c>
      <c r="F64" s="523">
        <f t="shared" si="16"/>
        <v>896.39999999999986</v>
      </c>
      <c r="G64" s="523">
        <f t="shared" si="16"/>
        <v>1075.6799999999998</v>
      </c>
      <c r="H64" s="523">
        <f t="shared" si="16"/>
        <v>1254.9599999999998</v>
      </c>
    </row>
    <row r="65" spans="1:9">
      <c r="A65" s="516" t="s">
        <v>714</v>
      </c>
      <c r="B65" s="523">
        <f>Annex1!N33</f>
        <v>9.4357894736841956</v>
      </c>
      <c r="C65" s="523">
        <f>Annex1!O33</f>
        <v>18.871578947368391</v>
      </c>
      <c r="D65" s="523">
        <f>Annex1!P33</f>
        <v>28.307368421052615</v>
      </c>
      <c r="E65" s="523">
        <f>Annex1!Q33</f>
        <v>37.743157894736783</v>
      </c>
      <c r="F65" s="523">
        <f>Annex1!R33</f>
        <v>47.178947368421063</v>
      </c>
      <c r="G65" s="523">
        <f>Annex1!S33</f>
        <v>56.614736842105231</v>
      </c>
      <c r="H65" s="523">
        <f>Annex1!T33</f>
        <v>66.050526315789512</v>
      </c>
      <c r="I65" s="263" t="s">
        <v>723</v>
      </c>
    </row>
    <row r="66" spans="1:9">
      <c r="A66" s="516"/>
      <c r="B66" s="523">
        <v>0</v>
      </c>
      <c r="C66" s="523">
        <v>0</v>
      </c>
      <c r="D66" s="523">
        <v>0</v>
      </c>
      <c r="E66" s="523">
        <v>0</v>
      </c>
      <c r="F66" s="523">
        <v>0</v>
      </c>
      <c r="G66" s="523">
        <v>0</v>
      </c>
      <c r="H66" s="523">
        <v>0</v>
      </c>
    </row>
    <row r="67" spans="1:9">
      <c r="A67" s="514" t="s">
        <v>1</v>
      </c>
      <c r="B67" s="528">
        <f t="shared" ref="B67:H67" si="17">B64+B65+B66</f>
        <v>188.7157894736842</v>
      </c>
      <c r="C67" s="528">
        <f t="shared" si="17"/>
        <v>377.43157894736839</v>
      </c>
      <c r="D67" s="528">
        <f t="shared" si="17"/>
        <v>566.14736842105265</v>
      </c>
      <c r="E67" s="528">
        <f t="shared" si="17"/>
        <v>754.86315789473667</v>
      </c>
      <c r="F67" s="528">
        <f t="shared" si="17"/>
        <v>943.57894736842093</v>
      </c>
      <c r="G67" s="528">
        <f t="shared" si="17"/>
        <v>1132.2947368421051</v>
      </c>
      <c r="H67" s="528">
        <f t="shared" si="17"/>
        <v>1321.0105263157893</v>
      </c>
    </row>
    <row r="68" spans="1:9">
      <c r="A68" s="329"/>
      <c r="B68" s="358"/>
      <c r="C68" s="358"/>
      <c r="D68" s="358"/>
      <c r="E68" s="358"/>
      <c r="F68" s="358"/>
      <c r="G68" s="358"/>
      <c r="H68" s="358"/>
    </row>
    <row r="69" spans="1:9">
      <c r="A69" s="329"/>
      <c r="B69" s="358"/>
      <c r="C69" s="358"/>
      <c r="D69" s="358"/>
      <c r="E69" s="358"/>
      <c r="F69" s="358"/>
      <c r="G69" s="358"/>
      <c r="H69" s="358"/>
    </row>
    <row r="70" spans="1:9">
      <c r="A70" s="524" t="str">
        <f>A43</f>
        <v>Bajra (Kharif)</v>
      </c>
      <c r="B70" s="525">
        <f>B43</f>
        <v>112.05000000000001</v>
      </c>
      <c r="C70" s="525">
        <f t="shared" ref="C70:H70" si="18">C43</f>
        <v>224.10000000000002</v>
      </c>
      <c r="D70" s="525">
        <f t="shared" si="18"/>
        <v>336.15000000000003</v>
      </c>
      <c r="E70" s="525">
        <f t="shared" si="18"/>
        <v>448.20000000000005</v>
      </c>
      <c r="F70" s="525">
        <f t="shared" si="18"/>
        <v>560.25</v>
      </c>
      <c r="G70" s="525">
        <f t="shared" si="18"/>
        <v>672.3</v>
      </c>
      <c r="H70" s="525">
        <f t="shared" si="18"/>
        <v>784.34999999999991</v>
      </c>
    </row>
    <row r="71" spans="1:9">
      <c r="A71" s="524" t="str">
        <f>A55</f>
        <v>Jawar (Summer)</v>
      </c>
      <c r="B71" s="525">
        <f t="shared" ref="B71:H71" si="19">B55</f>
        <v>191.60550000000001</v>
      </c>
      <c r="C71" s="525">
        <f t="shared" si="19"/>
        <v>383.21100000000001</v>
      </c>
      <c r="D71" s="525">
        <f t="shared" si="19"/>
        <v>574.81650000000013</v>
      </c>
      <c r="E71" s="525">
        <f t="shared" si="19"/>
        <v>766.42200000000003</v>
      </c>
      <c r="F71" s="525">
        <f t="shared" si="19"/>
        <v>958.02750000000003</v>
      </c>
      <c r="G71" s="525">
        <f t="shared" si="19"/>
        <v>1149.633</v>
      </c>
      <c r="H71" s="525">
        <f t="shared" si="19"/>
        <v>1341.2384999999999</v>
      </c>
    </row>
    <row r="72" spans="1:9">
      <c r="A72" s="524" t="s">
        <v>714</v>
      </c>
      <c r="B72" s="525">
        <f>Annex1!N8</f>
        <v>15.981868421052638</v>
      </c>
      <c r="C72" s="525">
        <f>Annex1!O8</f>
        <v>31.963736842105277</v>
      </c>
      <c r="D72" s="525">
        <f>Annex1!P8</f>
        <v>47.945605263158086</v>
      </c>
      <c r="E72" s="525">
        <f>Annex1!Q8</f>
        <v>63.927473684210554</v>
      </c>
      <c r="F72" s="525">
        <f>Annex1!R8</f>
        <v>79.909342105263136</v>
      </c>
      <c r="G72" s="525">
        <f>Annex1!S8</f>
        <v>95.891210526315717</v>
      </c>
      <c r="H72" s="525">
        <f>Annex1!T8</f>
        <v>111.87307894736841</v>
      </c>
      <c r="I72" s="263" t="s">
        <v>723</v>
      </c>
    </row>
    <row r="73" spans="1:9">
      <c r="A73" s="524" t="s">
        <v>1</v>
      </c>
      <c r="B73" s="526">
        <f>B70+B71+B72</f>
        <v>319.63736842105266</v>
      </c>
      <c r="C73" s="526">
        <f t="shared" ref="C73:H73" si="20">C70+C71+C72</f>
        <v>639.27473684210531</v>
      </c>
      <c r="D73" s="526">
        <f t="shared" si="20"/>
        <v>958.91210526315831</v>
      </c>
      <c r="E73" s="526">
        <f t="shared" si="20"/>
        <v>1278.5494736842106</v>
      </c>
      <c r="F73" s="526">
        <f t="shared" si="20"/>
        <v>1598.1868421052632</v>
      </c>
      <c r="G73" s="526">
        <f t="shared" si="20"/>
        <v>1917.8242105263157</v>
      </c>
      <c r="H73" s="526">
        <f t="shared" si="20"/>
        <v>2237.4615789473683</v>
      </c>
    </row>
    <row r="74" spans="1:9">
      <c r="A74" s="332" t="s">
        <v>793</v>
      </c>
      <c r="B74" s="359">
        <f>B73*50%</f>
        <v>159.81868421052633</v>
      </c>
      <c r="C74" s="359">
        <f t="shared" ref="C74:H74" si="21">C73*50%</f>
        <v>319.63736842105266</v>
      </c>
      <c r="D74" s="359">
        <f t="shared" si="21"/>
        <v>479.45605263157915</v>
      </c>
      <c r="E74" s="359">
        <f t="shared" si="21"/>
        <v>639.27473684210531</v>
      </c>
      <c r="F74" s="359">
        <f t="shared" si="21"/>
        <v>799.09342105263158</v>
      </c>
      <c r="G74" s="359">
        <f t="shared" si="21"/>
        <v>958.91210526315786</v>
      </c>
      <c r="H74" s="359">
        <f t="shared" si="21"/>
        <v>1118.7307894736841</v>
      </c>
    </row>
    <row r="75" spans="1:9">
      <c r="A75" s="332" t="s">
        <v>795</v>
      </c>
      <c r="B75" s="359">
        <f>B73-B74</f>
        <v>159.81868421052633</v>
      </c>
      <c r="C75" s="359">
        <f t="shared" ref="C75:H75" si="22">C73-C74</f>
        <v>319.63736842105266</v>
      </c>
      <c r="D75" s="359">
        <f t="shared" si="22"/>
        <v>479.45605263157915</v>
      </c>
      <c r="E75" s="359">
        <f t="shared" si="22"/>
        <v>639.27473684210531</v>
      </c>
      <c r="F75" s="359">
        <f t="shared" si="22"/>
        <v>799.09342105263158</v>
      </c>
      <c r="G75" s="359">
        <f t="shared" si="22"/>
        <v>958.91210526315786</v>
      </c>
      <c r="H75" s="359">
        <f t="shared" si="22"/>
        <v>1118.7307894736841</v>
      </c>
    </row>
    <row r="76" spans="1:9">
      <c r="A76" s="329"/>
      <c r="B76" s="358"/>
      <c r="C76" s="358"/>
      <c r="D76" s="358"/>
      <c r="E76" s="358"/>
      <c r="F76" s="358"/>
      <c r="G76" s="358"/>
      <c r="H76" s="358"/>
    </row>
    <row r="77" spans="1:9">
      <c r="A77" s="329" t="str">
        <f>A47</f>
        <v>Gram (Rabbi)</v>
      </c>
      <c r="B77" s="358">
        <f>B47</f>
        <v>89.64</v>
      </c>
      <c r="C77" s="358">
        <f t="shared" ref="C77:H77" si="23">C47</f>
        <v>179.28</v>
      </c>
      <c r="D77" s="358">
        <f t="shared" si="23"/>
        <v>268.92</v>
      </c>
      <c r="E77" s="358">
        <f t="shared" si="23"/>
        <v>358.55999999999995</v>
      </c>
      <c r="F77" s="358">
        <f t="shared" si="23"/>
        <v>448.19999999999993</v>
      </c>
      <c r="G77" s="358">
        <f t="shared" si="23"/>
        <v>537.83999999999992</v>
      </c>
      <c r="H77" s="358">
        <f t="shared" si="23"/>
        <v>627.4799999999999</v>
      </c>
    </row>
    <row r="78" spans="1:9">
      <c r="A78" s="329" t="s">
        <v>714</v>
      </c>
      <c r="B78" s="358">
        <f>Annex1!N48</f>
        <v>48.267692307692315</v>
      </c>
      <c r="C78" s="358">
        <f>Annex1!O48</f>
        <v>96.535384615384629</v>
      </c>
      <c r="D78" s="358">
        <f>Annex1!P48</f>
        <v>144.8030769230769</v>
      </c>
      <c r="E78" s="358">
        <f>Annex1!Q48</f>
        <v>193.0707692307692</v>
      </c>
      <c r="F78" s="358">
        <f>Annex1!R48</f>
        <v>241.3384615384615</v>
      </c>
      <c r="G78" s="358">
        <f>Annex1!S48</f>
        <v>289.6061538461538</v>
      </c>
      <c r="H78" s="358">
        <f>Annex1!T48</f>
        <v>337.8738461538461</v>
      </c>
      <c r="I78" s="263" t="s">
        <v>723</v>
      </c>
    </row>
    <row r="79" spans="1:9">
      <c r="A79" s="332" t="s">
        <v>1</v>
      </c>
      <c r="B79" s="359">
        <f>B77+B78</f>
        <v>137.90769230769232</v>
      </c>
      <c r="C79" s="359">
        <f t="shared" ref="C79:H79" si="24">C77+C78</f>
        <v>275.81538461538463</v>
      </c>
      <c r="D79" s="359">
        <f t="shared" si="24"/>
        <v>413.72307692307692</v>
      </c>
      <c r="E79" s="359">
        <f t="shared" si="24"/>
        <v>551.63076923076915</v>
      </c>
      <c r="F79" s="359">
        <f t="shared" si="24"/>
        <v>689.53846153846143</v>
      </c>
      <c r="G79" s="359">
        <f t="shared" si="24"/>
        <v>827.44615384615372</v>
      </c>
      <c r="H79" s="359">
        <f t="shared" si="24"/>
        <v>965.35384615384601</v>
      </c>
    </row>
    <row r="80" spans="1:9">
      <c r="A80" s="329"/>
      <c r="B80" s="358"/>
      <c r="C80" s="358"/>
      <c r="D80" s="358"/>
      <c r="E80" s="358"/>
      <c r="F80" s="358"/>
      <c r="G80" s="358"/>
      <c r="H80" s="358"/>
    </row>
    <row r="81" spans="1:8">
      <c r="A81" s="329"/>
      <c r="B81" s="358"/>
      <c r="C81" s="358"/>
      <c r="D81" s="358"/>
      <c r="E81" s="358"/>
      <c r="F81" s="358"/>
      <c r="G81" s="358"/>
      <c r="H81" s="358"/>
    </row>
    <row r="82" spans="1:8">
      <c r="A82" s="329"/>
      <c r="B82" s="358"/>
      <c r="C82" s="358"/>
      <c r="D82" s="358"/>
      <c r="E82" s="358"/>
      <c r="F82" s="358"/>
      <c r="G82" s="358"/>
      <c r="H82" s="358"/>
    </row>
    <row r="83" spans="1:8">
      <c r="A83" s="329"/>
      <c r="B83" s="358"/>
      <c r="C83" s="358"/>
      <c r="D83" s="358"/>
      <c r="E83" s="358"/>
      <c r="F83" s="358"/>
      <c r="G83" s="358"/>
      <c r="H83" s="358"/>
    </row>
    <row r="84" spans="1:8">
      <c r="A84" s="329"/>
      <c r="B84" s="358"/>
      <c r="C84" s="358"/>
      <c r="D84" s="358"/>
      <c r="E84" s="358"/>
      <c r="F84" s="358"/>
      <c r="G84" s="358"/>
      <c r="H84" s="358"/>
    </row>
    <row r="85" spans="1:8">
      <c r="A85" s="329" t="str">
        <f>A44</f>
        <v>Jawar</v>
      </c>
      <c r="B85" s="358"/>
      <c r="C85" s="358"/>
      <c r="D85" s="358"/>
      <c r="E85" s="358"/>
      <c r="F85" s="358"/>
      <c r="G85" s="358"/>
      <c r="H85" s="358"/>
    </row>
    <row r="86" spans="1:8">
      <c r="A86" s="329"/>
      <c r="B86" s="358"/>
      <c r="C86" s="358"/>
      <c r="D86" s="358"/>
      <c r="E86" s="358"/>
      <c r="F86" s="358"/>
      <c r="G86" s="358"/>
      <c r="H86" s="358"/>
    </row>
    <row r="87" spans="1:8">
      <c r="A87" s="329"/>
      <c r="B87" s="358"/>
      <c r="C87" s="358"/>
      <c r="D87" s="358"/>
      <c r="E87" s="358"/>
      <c r="F87" s="358"/>
      <c r="G87" s="358"/>
      <c r="H87" s="358"/>
    </row>
    <row r="88" spans="1:8">
      <c r="A88" s="329"/>
      <c r="B88" s="358"/>
      <c r="C88" s="358"/>
      <c r="D88" s="358"/>
      <c r="E88" s="358"/>
      <c r="F88" s="358"/>
      <c r="G88" s="358"/>
      <c r="H88" s="358"/>
    </row>
    <row r="89" spans="1:8">
      <c r="A89" s="329" t="str">
        <f>A45</f>
        <v>Sunflower</v>
      </c>
      <c r="B89" s="358"/>
      <c r="C89" s="358"/>
      <c r="D89" s="358"/>
      <c r="E89" s="358"/>
      <c r="F89" s="358"/>
      <c r="G89" s="358"/>
      <c r="H89" s="358"/>
    </row>
    <row r="90" spans="1:8">
      <c r="A90" s="329"/>
      <c r="B90" s="358"/>
      <c r="C90" s="358"/>
      <c r="D90" s="358"/>
      <c r="E90" s="358"/>
      <c r="F90" s="358"/>
      <c r="G90" s="358"/>
      <c r="H90" s="358"/>
    </row>
    <row r="91" spans="1:8">
      <c r="A91" s="329"/>
      <c r="B91" s="358"/>
      <c r="C91" s="358"/>
      <c r="D91" s="358"/>
      <c r="E91" s="358"/>
      <c r="F91" s="358"/>
      <c r="G91" s="358"/>
      <c r="H91" s="358"/>
    </row>
    <row r="92" spans="1:8">
      <c r="A92" s="329"/>
      <c r="B92" s="358"/>
      <c r="C92" s="358"/>
      <c r="D92" s="358"/>
      <c r="E92" s="358"/>
      <c r="F92" s="358"/>
      <c r="G92" s="358"/>
      <c r="H92" s="358"/>
    </row>
    <row r="93" spans="1:8">
      <c r="A93" s="329" t="str">
        <f>A46</f>
        <v>Maize (Rabbi)</v>
      </c>
      <c r="B93" s="358"/>
      <c r="C93" s="358"/>
      <c r="D93" s="358"/>
      <c r="E93" s="358"/>
      <c r="F93" s="358"/>
      <c r="G93" s="358"/>
      <c r="H93" s="358"/>
    </row>
    <row r="94" spans="1:8">
      <c r="A94" s="329"/>
      <c r="B94" s="358"/>
      <c r="C94" s="358"/>
      <c r="D94" s="358"/>
      <c r="E94" s="358"/>
      <c r="F94" s="358"/>
      <c r="G94" s="358"/>
      <c r="H94" s="358"/>
    </row>
    <row r="95" spans="1:8">
      <c r="A95" s="329"/>
      <c r="B95" s="358"/>
      <c r="C95" s="358"/>
      <c r="D95" s="358"/>
      <c r="E95" s="358"/>
      <c r="F95" s="358"/>
      <c r="G95" s="358"/>
      <c r="H95" s="358"/>
    </row>
    <row r="96" spans="1:8">
      <c r="A96" s="329"/>
      <c r="B96" s="358"/>
      <c r="C96" s="358"/>
      <c r="D96" s="358"/>
      <c r="E96" s="358"/>
      <c r="F96" s="358"/>
      <c r="G96" s="358"/>
      <c r="H96" s="358"/>
    </row>
    <row r="97" spans="1:8">
      <c r="A97" s="329"/>
      <c r="B97" s="358"/>
      <c r="C97" s="358"/>
      <c r="D97" s="358"/>
      <c r="E97" s="358"/>
      <c r="F97" s="358"/>
      <c r="G97" s="358"/>
      <c r="H97" s="358"/>
    </row>
    <row r="98" spans="1:8">
      <c r="A98" s="329"/>
      <c r="B98" s="358"/>
      <c r="C98" s="358"/>
      <c r="D98" s="358"/>
      <c r="E98" s="358"/>
      <c r="F98" s="358"/>
      <c r="G98" s="358"/>
      <c r="H98" s="358"/>
    </row>
    <row r="99" spans="1:8">
      <c r="A99" s="329"/>
      <c r="B99" s="358"/>
      <c r="C99" s="358"/>
      <c r="D99" s="358"/>
      <c r="E99" s="358"/>
      <c r="F99" s="358"/>
      <c r="G99" s="358"/>
      <c r="H99" s="358"/>
    </row>
    <row r="100" spans="1:8">
      <c r="A100" s="329"/>
      <c r="B100" s="358"/>
      <c r="C100" s="358"/>
      <c r="D100" s="358"/>
      <c r="E100" s="358"/>
      <c r="F100" s="358"/>
      <c r="G100" s="358"/>
      <c r="H100" s="358"/>
    </row>
    <row r="101" spans="1:8">
      <c r="A101" s="329"/>
      <c r="B101" s="358"/>
      <c r="C101" s="358"/>
      <c r="D101" s="358"/>
      <c r="E101" s="358"/>
      <c r="F101" s="358"/>
      <c r="G101" s="358"/>
      <c r="H101" s="358"/>
    </row>
    <row r="102" spans="1:8">
      <c r="A102" s="329">
        <f>A49</f>
        <v>0</v>
      </c>
      <c r="B102" s="358"/>
      <c r="C102" s="358"/>
      <c r="D102" s="358"/>
      <c r="E102" s="358"/>
      <c r="F102" s="358"/>
      <c r="G102" s="358"/>
      <c r="H102" s="358"/>
    </row>
    <row r="103" spans="1:8">
      <c r="A103" s="329"/>
      <c r="B103" s="358"/>
      <c r="C103" s="358"/>
      <c r="D103" s="358"/>
      <c r="E103" s="358"/>
      <c r="F103" s="358"/>
      <c r="G103" s="358"/>
      <c r="H103" s="358"/>
    </row>
    <row r="104" spans="1:8">
      <c r="A104" s="329"/>
      <c r="B104" s="358"/>
      <c r="C104" s="358"/>
      <c r="D104" s="358"/>
      <c r="E104" s="358"/>
      <c r="F104" s="358"/>
      <c r="G104" s="358"/>
      <c r="H104" s="358"/>
    </row>
    <row r="105" spans="1:8">
      <c r="A105" s="329">
        <f>A50</f>
        <v>0</v>
      </c>
      <c r="B105" s="358"/>
      <c r="C105" s="358"/>
      <c r="D105" s="358"/>
      <c r="E105" s="358"/>
      <c r="F105" s="358"/>
      <c r="G105" s="358"/>
      <c r="H105" s="358"/>
    </row>
    <row r="106" spans="1:8">
      <c r="A106" s="329"/>
      <c r="B106" s="358"/>
      <c r="C106" s="358"/>
      <c r="D106" s="358"/>
      <c r="E106" s="358"/>
      <c r="F106" s="358"/>
      <c r="G106" s="358"/>
      <c r="H106" s="358"/>
    </row>
    <row r="107" spans="1:8">
      <c r="A107" s="329"/>
      <c r="B107" s="358"/>
      <c r="C107" s="358"/>
      <c r="D107" s="358"/>
      <c r="E107" s="358"/>
      <c r="F107" s="358"/>
      <c r="G107" s="358"/>
      <c r="H107" s="358"/>
    </row>
    <row r="108" spans="1:8">
      <c r="A108" s="357">
        <f>A51</f>
        <v>0</v>
      </c>
      <c r="B108" s="358"/>
      <c r="C108" s="358"/>
      <c r="D108" s="358"/>
      <c r="E108" s="358"/>
      <c r="F108" s="358"/>
      <c r="G108" s="358"/>
      <c r="H108" s="358"/>
    </row>
    <row r="109" spans="1:8">
      <c r="A109" s="329"/>
      <c r="B109" s="358"/>
      <c r="C109" s="358"/>
      <c r="D109" s="358"/>
      <c r="E109" s="358"/>
      <c r="F109" s="358"/>
      <c r="G109" s="358"/>
      <c r="H109" s="358"/>
    </row>
    <row r="110" spans="1:8">
      <c r="A110" s="329"/>
      <c r="B110" s="358"/>
      <c r="C110" s="358"/>
      <c r="D110" s="358"/>
      <c r="E110" s="358"/>
      <c r="F110" s="358"/>
      <c r="G110" s="358"/>
      <c r="H110" s="358"/>
    </row>
    <row r="111" spans="1:8">
      <c r="A111" s="357">
        <f>A52</f>
        <v>0</v>
      </c>
      <c r="B111" s="358"/>
      <c r="C111" s="358"/>
      <c r="D111" s="358"/>
      <c r="E111" s="358"/>
      <c r="F111" s="358"/>
      <c r="G111" s="358"/>
      <c r="H111" s="358"/>
    </row>
    <row r="112" spans="1:8">
      <c r="A112" s="329"/>
      <c r="B112" s="358"/>
      <c r="C112" s="358"/>
      <c r="D112" s="358"/>
      <c r="E112" s="358"/>
      <c r="F112" s="358"/>
      <c r="G112" s="358"/>
      <c r="H112" s="358"/>
    </row>
    <row r="113" spans="1:9">
      <c r="A113" s="329"/>
      <c r="B113" s="358"/>
      <c r="C113" s="358"/>
      <c r="D113" s="358"/>
      <c r="E113" s="358"/>
      <c r="F113" s="358"/>
      <c r="G113" s="358"/>
      <c r="H113" s="358"/>
    </row>
    <row r="114" spans="1:9">
      <c r="A114" s="357">
        <f>A53</f>
        <v>0</v>
      </c>
      <c r="B114" s="358"/>
      <c r="C114" s="358"/>
      <c r="D114" s="358"/>
      <c r="E114" s="358"/>
      <c r="F114" s="358"/>
      <c r="G114" s="358"/>
      <c r="H114" s="358"/>
    </row>
    <row r="115" spans="1:9">
      <c r="A115" s="329"/>
      <c r="B115" s="358"/>
      <c r="C115" s="358"/>
      <c r="D115" s="358"/>
      <c r="E115" s="358"/>
      <c r="F115" s="358"/>
      <c r="G115" s="358"/>
      <c r="H115" s="358"/>
    </row>
    <row r="116" spans="1:9">
      <c r="A116" s="329"/>
      <c r="B116" s="358"/>
      <c r="C116" s="358"/>
      <c r="D116" s="358"/>
      <c r="E116" s="358"/>
      <c r="F116" s="358"/>
      <c r="G116" s="358"/>
      <c r="H116" s="358"/>
    </row>
    <row r="117" spans="1:9">
      <c r="A117" s="329" t="str">
        <f>A54</f>
        <v>Maize (Summer)</v>
      </c>
      <c r="B117" s="358"/>
      <c r="C117" s="358"/>
      <c r="D117" s="358"/>
      <c r="E117" s="358"/>
      <c r="F117" s="358"/>
      <c r="G117" s="358"/>
      <c r="H117" s="358"/>
    </row>
    <row r="118" spans="1:9">
      <c r="A118" s="329"/>
      <c r="B118" s="358"/>
      <c r="C118" s="358"/>
      <c r="D118" s="358"/>
      <c r="E118" s="358"/>
      <c r="F118" s="358"/>
      <c r="G118" s="358"/>
      <c r="H118" s="358"/>
    </row>
    <row r="119" spans="1:9">
      <c r="A119" s="329"/>
      <c r="B119" s="358"/>
      <c r="C119" s="358"/>
      <c r="D119" s="358"/>
      <c r="E119" s="358"/>
      <c r="F119" s="358"/>
      <c r="G119" s="358"/>
      <c r="H119" s="358"/>
    </row>
    <row r="120" spans="1:9">
      <c r="A120" s="357" t="str">
        <f>A55</f>
        <v>Jawar (Summer)</v>
      </c>
      <c r="B120" s="358"/>
      <c r="C120" s="358"/>
      <c r="D120" s="358"/>
      <c r="E120" s="358"/>
      <c r="F120" s="358"/>
      <c r="G120" s="358"/>
      <c r="H120" s="358"/>
    </row>
    <row r="121" spans="1:9">
      <c r="A121" s="329"/>
      <c r="B121" s="358"/>
      <c r="C121" s="358"/>
      <c r="D121" s="358"/>
      <c r="E121" s="358"/>
      <c r="F121" s="358"/>
      <c r="G121" s="358"/>
      <c r="H121" s="358"/>
    </row>
    <row r="122" spans="1:9">
      <c r="A122" s="329"/>
      <c r="B122" s="358"/>
      <c r="C122" s="358"/>
      <c r="D122" s="358"/>
      <c r="E122" s="358"/>
      <c r="F122" s="358"/>
      <c r="G122" s="358"/>
      <c r="H122" s="358"/>
    </row>
    <row r="123" spans="1:9">
      <c r="A123" s="357">
        <f>A56</f>
        <v>0</v>
      </c>
      <c r="B123" s="358"/>
      <c r="C123" s="358"/>
      <c r="D123" s="358"/>
      <c r="E123" s="358"/>
      <c r="F123" s="358"/>
      <c r="G123" s="358"/>
      <c r="H123" s="358"/>
    </row>
    <row r="124" spans="1:9">
      <c r="A124" s="353"/>
      <c r="B124" s="409"/>
      <c r="C124" s="409"/>
      <c r="D124" s="409"/>
      <c r="E124" s="409"/>
      <c r="F124" s="409"/>
      <c r="G124" s="409"/>
      <c r="H124" s="409"/>
    </row>
    <row r="125" spans="1:9">
      <c r="A125" s="353"/>
      <c r="B125" s="409"/>
      <c r="C125" s="409"/>
      <c r="D125" s="409"/>
      <c r="E125" s="409"/>
      <c r="F125" s="409"/>
      <c r="G125" s="409"/>
      <c r="H125" s="409"/>
      <c r="I125" s="433"/>
    </row>
    <row r="126" spans="1:9">
      <c r="A126" s="415" t="s">
        <v>429</v>
      </c>
      <c r="B126" s="416">
        <v>50</v>
      </c>
      <c r="I126" s="433"/>
    </row>
    <row r="127" spans="1:9">
      <c r="I127" s="433"/>
    </row>
    <row r="129" spans="1:10">
      <c r="B129" s="417"/>
      <c r="C129" s="434"/>
      <c r="D129" s="433"/>
      <c r="F129" s="433"/>
    </row>
    <row r="130" spans="1:10">
      <c r="D130" s="487"/>
      <c r="F130" s="436"/>
    </row>
    <row r="131" spans="1:10">
      <c r="D131" s="417"/>
    </row>
    <row r="133" spans="1:10" ht="18">
      <c r="A133" s="601" t="s">
        <v>695</v>
      </c>
      <c r="B133" s="601"/>
      <c r="C133" s="601"/>
      <c r="D133" s="601"/>
      <c r="E133" s="601"/>
      <c r="F133" s="601"/>
      <c r="G133" s="601"/>
      <c r="H133" s="601"/>
      <c r="I133" s="601"/>
      <c r="J133" s="601"/>
    </row>
    <row r="134" spans="1:10">
      <c r="A134" s="287"/>
      <c r="B134" s="287"/>
      <c r="C134" s="287"/>
      <c r="D134" s="287"/>
      <c r="E134" s="287"/>
      <c r="F134" s="287"/>
      <c r="G134" s="287"/>
      <c r="H134" s="287"/>
    </row>
    <row r="135" spans="1:10">
      <c r="A135" s="287"/>
      <c r="B135" s="287"/>
      <c r="C135" s="287"/>
      <c r="D135" s="410">
        <v>1</v>
      </c>
      <c r="E135" s="410">
        <f>(D135*5%)+D135</f>
        <v>1.05</v>
      </c>
      <c r="F135" s="410">
        <f t="shared" ref="F135:J135" si="25">(E135*5%)+E135</f>
        <v>1.1025</v>
      </c>
      <c r="G135" s="410">
        <f t="shared" si="25"/>
        <v>1.1576250000000001</v>
      </c>
      <c r="H135" s="410">
        <f t="shared" si="25"/>
        <v>1.2155062500000002</v>
      </c>
      <c r="I135" s="410">
        <f t="shared" si="25"/>
        <v>1.2762815625000004</v>
      </c>
      <c r="J135" s="410">
        <f t="shared" si="25"/>
        <v>1.3400956406250004</v>
      </c>
    </row>
    <row r="137" spans="1:10">
      <c r="A137" s="378" t="s">
        <v>0</v>
      </c>
      <c r="B137" s="378" t="s">
        <v>133</v>
      </c>
      <c r="C137" s="378" t="s">
        <v>151</v>
      </c>
      <c r="D137" s="379" t="s">
        <v>2</v>
      </c>
      <c r="E137" s="379" t="s">
        <v>3</v>
      </c>
      <c r="F137" s="379" t="s">
        <v>4</v>
      </c>
      <c r="G137" s="379" t="s">
        <v>5</v>
      </c>
      <c r="H137" s="379" t="s">
        <v>6</v>
      </c>
      <c r="I137" s="379" t="s">
        <v>166</v>
      </c>
      <c r="J137" s="379" t="s">
        <v>165</v>
      </c>
    </row>
    <row r="138" spans="1:10">
      <c r="A138" s="329"/>
      <c r="B138" s="329"/>
      <c r="C138" s="329"/>
      <c r="D138" s="329"/>
      <c r="E138" s="329"/>
      <c r="F138" s="329"/>
      <c r="G138" s="329"/>
      <c r="H138" s="329"/>
      <c r="I138" s="329"/>
      <c r="J138" s="329"/>
    </row>
    <row r="139" spans="1:10">
      <c r="A139" s="332" t="s">
        <v>127</v>
      </c>
      <c r="B139" s="332"/>
      <c r="C139" s="332"/>
      <c r="D139" s="411"/>
      <c r="E139" s="411"/>
      <c r="F139" s="411"/>
      <c r="G139" s="411"/>
      <c r="H139" s="411"/>
      <c r="I139" s="329"/>
      <c r="J139" s="329"/>
    </row>
    <row r="140" spans="1:10">
      <c r="A140" s="332" t="s">
        <v>720</v>
      </c>
      <c r="B140" s="332"/>
      <c r="C140" s="332"/>
      <c r="D140" s="329"/>
      <c r="E140" s="329"/>
      <c r="F140" s="329"/>
      <c r="G140" s="329"/>
      <c r="H140" s="329"/>
      <c r="I140" s="329"/>
      <c r="J140" s="329"/>
    </row>
    <row r="141" spans="1:10">
      <c r="A141" s="332" t="s">
        <v>789</v>
      </c>
      <c r="B141" s="273" t="s">
        <v>711</v>
      </c>
      <c r="C141" s="405">
        <f>50*18</f>
        <v>900</v>
      </c>
      <c r="D141" s="358">
        <f>(((B61*100)*(1-'5.Closing Stock &amp; W Capital'!$D$17))/$B$126)*$C$141*D135</f>
        <v>1468975.5</v>
      </c>
      <c r="E141" s="358">
        <f>E135*((((C61*100)*(1-'5.Closing Stock &amp; W Capital'!$D$17))+((B61*100)*'5.Closing Stock &amp; W Capital'!$D$17))/$B$126)*$C$141</f>
        <v>3166028.7750000004</v>
      </c>
      <c r="F141" s="358">
        <f>F135*((((D61*100)*(1-'5.Closing Stock &amp; W Capital'!$D$17))+((C61*100)*'5.Closing Stock &amp; W Capital'!$D$17))/$B$126)*$C$141</f>
        <v>5029114.9387500016</v>
      </c>
      <c r="G141" s="358">
        <f>G135*((((E61*100)*(1-'5.Closing Stock &amp; W Capital'!$D$17))+((D61*100)*'5.Closing Stock &amp; W Capital'!$D$17))/$B$126)*$C$141</f>
        <v>7070594.6469375007</v>
      </c>
      <c r="H141" s="358">
        <f>H135*((((F61*100)*(1-'5.Closing Stock &amp; W Capital'!$D$17))+((E61*100)*'5.Closing Stock &amp; W Capital'!$D$17))/$B$126)*$C$141</f>
        <v>9303649.538596876</v>
      </c>
      <c r="I141" s="358">
        <f>I135*((((G61*100)*(1-'5.Closing Stock &amp; W Capital'!$D$17))+((F61*100)*'5.Closing Stock &amp; W Capital'!$D$17))/$B$126)*$C$141</f>
        <v>11742333.432804847</v>
      </c>
      <c r="J141" s="358">
        <f>J135*((((H61*100)*(1-'5.Closing Stock &amp; W Capital'!$D$17))+((G61*100)*'5.Closing Stock &amp; W Capital'!$D$17))/$B$126)*$C$141</f>
        <v>14401626.592587123</v>
      </c>
    </row>
    <row r="142" spans="1:10">
      <c r="A142" s="332" t="s">
        <v>755</v>
      </c>
      <c r="B142" s="273" t="s">
        <v>711</v>
      </c>
      <c r="C142" s="405">
        <f>50*55</f>
        <v>2750</v>
      </c>
      <c r="D142" s="358">
        <f>(((B65*100)*(1-'5.Closing Stock &amp; W Capital'!$D$17))/B126)*$C$142*D135</f>
        <v>49301.999999999913</v>
      </c>
      <c r="E142" s="358">
        <f>((((C65*100)*(1-'5.Closing Stock &amp; W Capital'!$D$17))+((B65*100)*'5.Closing Stock &amp; W Capital'!$D$17))/$B$126)*$C$142*E135</f>
        <v>106258.78421052614</v>
      </c>
      <c r="F142" s="358">
        <f>((((D65*100)*(1-'5.Closing Stock &amp; W Capital'!$D$17))+((C65*100)*'5.Closing Stock &amp; W Capital'!$D$17))/$B$126)*$C$142*F135</f>
        <v>168787.99184210517</v>
      </c>
      <c r="G142" s="358">
        <f>((((E65*100)*(1-'5.Closing Stock &amp; W Capital'!$D$17))+((D65*100)*'5.Closing Stock &amp; W Capital'!$D$17))/$B$126)*$C$142*G135</f>
        <v>237304.47327631543</v>
      </c>
      <c r="H142" s="358">
        <f>((((F65*100)*(1-'5.Closing Stock &amp; W Capital'!$D$17))+((E65*100)*'5.Closing Stock &amp; W Capital'!$D$17))/$B$126)*$C$142*H135</f>
        <v>312250.63287434215</v>
      </c>
      <c r="I142" s="358">
        <f>((((G65*100)*(1-'5.Closing Stock &amp; W Capital'!$D$17))+((F65*100)*'5.Closing Stock &amp; W Capital'!$D$17))/$B$126)*$C$142*I135</f>
        <v>394098.14724898012</v>
      </c>
      <c r="J142" s="358">
        <f>((((H65*100)*(1-'5.Closing Stock &amp; W Capital'!$D$17))+((G65*100)*'5.Closing Stock &amp; W Capital'!$D$17))/$B$126)*$C$142*J135</f>
        <v>483349.78647889668</v>
      </c>
    </row>
    <row r="143" spans="1:10">
      <c r="A143" s="332" t="s">
        <v>793</v>
      </c>
      <c r="B143" s="273" t="s">
        <v>711</v>
      </c>
      <c r="C143" s="405">
        <f>50*75</f>
        <v>3750</v>
      </c>
      <c r="D143" s="358">
        <f>(((B74*100)*(1-'5.Closing Stock &amp; W Capital'!$D$17))/$B$126)*$C$143*D135</f>
        <v>1138708.125</v>
      </c>
      <c r="E143" s="358">
        <f>((((C74*100)*(1-'5.Closing Stock &amp; W Capital'!$D$17))+((B80*100)*'5.Closing Stock &amp; W Capital'!$D$17))/$B$126)*$C$143*E135</f>
        <v>2391287.0625</v>
      </c>
      <c r="F143" s="358">
        <f>((((D74*100)*(1-'5.Closing Stock &amp; W Capital'!$D$17))+((C80*100)*'5.Closing Stock &amp; W Capital'!$D$17))/$B$126)*$C$143*F135</f>
        <v>3766277.1234375015</v>
      </c>
      <c r="G143" s="358">
        <f>((((E74*100)*(1-'5.Closing Stock &amp; W Capital'!$D$17))+((D80*100)*'5.Closing Stock &amp; W Capital'!$D$17))/$B$126)*$C$143*G135</f>
        <v>5272787.9728125008</v>
      </c>
      <c r="H143" s="358">
        <f>((((F74*100)*(1-'5.Closing Stock &amp; W Capital'!$D$17))+((E80*100)*'5.Closing Stock &amp; W Capital'!$D$17))/$B$126)*$C$143*H135</f>
        <v>6920534.2143164072</v>
      </c>
      <c r="I143" s="358">
        <f>((((G74*100)*(1-'5.Closing Stock &amp; W Capital'!$D$17))+((F80*100)*'5.Closing Stock &amp; W Capital'!$D$17))/$B$126)*$C$143*I135</f>
        <v>8719873.1100386735</v>
      </c>
      <c r="J143" s="358">
        <f>((((H74*100)*(1-'5.Closing Stock &amp; W Capital'!$D$17))+((G80*100)*'5.Closing Stock &amp; W Capital'!$D$17))/$B$126)*$C$143*J135</f>
        <v>10681844.559797375</v>
      </c>
    </row>
    <row r="144" spans="1:10">
      <c r="A144" s="332" t="s">
        <v>794</v>
      </c>
      <c r="B144" s="273" t="s">
        <v>711</v>
      </c>
      <c r="C144" s="405">
        <f>50*75</f>
        <v>3750</v>
      </c>
      <c r="D144" s="358">
        <f>(((B75*100)*(1-'5.Closing Stock &amp; W Capital'!$D$17))/B126)*$C$144*D135</f>
        <v>1138708.125</v>
      </c>
      <c r="E144" s="358">
        <f>((((C75*100)*(1-'5.Closing Stock &amp; W Capital'!$D$17))+((B72*100)*'5.Closing Stock &amp; W Capital'!$D$17))/$B$126)*$C$144*E135</f>
        <v>2397579.9231907898</v>
      </c>
      <c r="F144" s="358">
        <f>((((D75*100)*(1-'5.Closing Stock &amp; W Capital'!$D$17))+((C72*100)*'5.Closing Stock &amp; W Capital'!$D$17))/$B$126)*$C$144*F135</f>
        <v>3779492.1308881599</v>
      </c>
      <c r="G144" s="358">
        <f>((((E75*100)*(1-'5.Closing Stock &amp; W Capital'!$D$17))+((D72*100)*'5.Closing Stock &amp; W Capital'!$D$17))/$B$126)*$C$144*G135</f>
        <v>5293601.6095472872</v>
      </c>
      <c r="H144" s="358">
        <f>((((F75*100)*(1-'5.Closing Stock &amp; W Capital'!$D$17))+((E72*100)*'5.Closing Stock &amp; W Capital'!$D$17))/$B$126)*$C$144*H135</f>
        <v>6949673.305745109</v>
      </c>
      <c r="I144" s="358">
        <f>((((G75*100)*(1-'5.Closing Stock &amp; W Capital'!$D$17))+((F72*100)*'5.Closing Stock &amp; W Capital'!$D$17))/$B$126)*$C$144*I135</f>
        <v>8758118.167538844</v>
      </c>
      <c r="J144" s="358">
        <f>((((H75*100)*(1-'5.Closing Stock &amp; W Capital'!$D$17))+((G72*100)*'5.Closing Stock &amp; W Capital'!$D$17))/$B$126)*$C$144*J135</f>
        <v>10730033.332247589</v>
      </c>
    </row>
    <row r="145" spans="1:10">
      <c r="A145" s="329" t="s">
        <v>798</v>
      </c>
      <c r="B145" s="273" t="s">
        <v>711</v>
      </c>
      <c r="C145" s="405">
        <f>50*150</f>
        <v>7500</v>
      </c>
      <c r="D145" s="358">
        <f>(((B79*100)*(1-'5.Closing Stock &amp; W Capital'!$D$17))/$B$126)*$C$145*D135</f>
        <v>1965184.6153846155</v>
      </c>
      <c r="E145" s="358">
        <f>(((C79*100)*(1-'5.Closing Stock &amp; W Capital'!$D$17))/$B$126)*$C$145*E135</f>
        <v>4126887.6923076925</v>
      </c>
      <c r="F145" s="358">
        <f>(((D79*100)*(1-'5.Closing Stock &amp; W Capital'!$D$17))/$B$126)*$C$145*F135</f>
        <v>6499848.115384615</v>
      </c>
      <c r="G145" s="358">
        <f>(((E79*100)*(1-'5.Closing Stock &amp; W Capital'!$D$17))/$B$126)*$C$145*G135</f>
        <v>9099787.3615384605</v>
      </c>
      <c r="H145" s="358">
        <f>(((F79*100)*(1-'5.Closing Stock &amp; W Capital'!$D$17))/$B$126)*$C$145*H135</f>
        <v>11943470.91201923</v>
      </c>
      <c r="I145" s="358">
        <f>(((G79*100)*(1-'5.Closing Stock &amp; W Capital'!$D$17))/$B$126)*$C$145*I135</f>
        <v>15048773.349144235</v>
      </c>
      <c r="J145" s="358">
        <f>(((H79*100)*(1-'5.Closing Stock &amp; W Capital'!$D$17))/$B$126)*$C$145*J135</f>
        <v>18434747.352701683</v>
      </c>
    </row>
    <row r="146" spans="1:10">
      <c r="A146" s="329"/>
      <c r="B146" s="273"/>
      <c r="C146" s="273"/>
      <c r="D146" s="358">
        <f t="shared" ref="D146:J146" si="26">((B65+B97+B80+B72+B62)*100)*$C$146*D135</f>
        <v>0</v>
      </c>
      <c r="E146" s="358">
        <f t="shared" si="26"/>
        <v>0</v>
      </c>
      <c r="F146" s="358">
        <f t="shared" si="26"/>
        <v>0</v>
      </c>
      <c r="G146" s="358">
        <f t="shared" si="26"/>
        <v>0</v>
      </c>
      <c r="H146" s="358">
        <f t="shared" si="26"/>
        <v>0</v>
      </c>
      <c r="I146" s="358">
        <f t="shared" si="26"/>
        <v>0</v>
      </c>
      <c r="J146" s="358">
        <f t="shared" si="26"/>
        <v>0</v>
      </c>
    </row>
    <row r="147" spans="1:10">
      <c r="A147" s="329"/>
      <c r="B147" s="273"/>
      <c r="C147" s="273"/>
      <c r="D147" s="358"/>
      <c r="E147" s="358"/>
      <c r="F147" s="358"/>
      <c r="G147" s="358"/>
      <c r="H147" s="358"/>
      <c r="I147" s="358"/>
      <c r="J147" s="358"/>
    </row>
    <row r="148" spans="1:10">
      <c r="A148" s="332" t="s">
        <v>286</v>
      </c>
      <c r="B148" s="277"/>
      <c r="C148" s="277"/>
      <c r="D148" s="358">
        <f t="shared" ref="D148:J148" si="27">(B35*100)*$C$148*D135</f>
        <v>0</v>
      </c>
      <c r="E148" s="358">
        <f t="shared" si="27"/>
        <v>0</v>
      </c>
      <c r="F148" s="358">
        <f t="shared" si="27"/>
        <v>0</v>
      </c>
      <c r="G148" s="358">
        <f t="shared" si="27"/>
        <v>0</v>
      </c>
      <c r="H148" s="358">
        <f t="shared" si="27"/>
        <v>0</v>
      </c>
      <c r="I148" s="358">
        <f t="shared" si="27"/>
        <v>0</v>
      </c>
      <c r="J148" s="358">
        <f t="shared" si="27"/>
        <v>0</v>
      </c>
    </row>
    <row r="149" spans="1:10">
      <c r="A149" s="329"/>
      <c r="B149" s="329"/>
      <c r="C149" s="329"/>
      <c r="D149" s="358"/>
      <c r="E149" s="358"/>
      <c r="F149" s="358"/>
      <c r="G149" s="358"/>
      <c r="H149" s="358"/>
      <c r="I149" s="358"/>
      <c r="J149" s="358"/>
    </row>
    <row r="150" spans="1:10">
      <c r="A150" s="361" t="s">
        <v>127</v>
      </c>
      <c r="B150" s="361"/>
      <c r="C150" s="361"/>
      <c r="D150" s="405">
        <f t="shared" ref="D150:J150" si="28">SUM(D141:D149)</f>
        <v>5760878.365384616</v>
      </c>
      <c r="E150" s="405">
        <f t="shared" si="28"/>
        <v>12188042.237209007</v>
      </c>
      <c r="F150" s="405">
        <f t="shared" si="28"/>
        <v>19243520.300302383</v>
      </c>
      <c r="G150" s="405">
        <f t="shared" si="28"/>
        <v>26974076.064112067</v>
      </c>
      <c r="H150" s="405">
        <f t="shared" si="28"/>
        <v>35429578.603551969</v>
      </c>
      <c r="I150" s="405">
        <f t="shared" si="28"/>
        <v>44663196.206775576</v>
      </c>
      <c r="J150" s="405">
        <f t="shared" si="28"/>
        <v>54731601.623812661</v>
      </c>
    </row>
    <row r="151" spans="1:10">
      <c r="A151" s="329"/>
      <c r="B151" s="329"/>
      <c r="C151" s="329"/>
      <c r="D151" s="358"/>
      <c r="E151" s="358"/>
      <c r="F151" s="358"/>
      <c r="G151" s="358"/>
      <c r="H151" s="358"/>
      <c r="I151" s="358"/>
      <c r="J151" s="358"/>
    </row>
    <row r="152" spans="1:10">
      <c r="A152" s="332" t="s">
        <v>141</v>
      </c>
      <c r="B152" s="332"/>
      <c r="C152" s="332"/>
      <c r="D152" s="358"/>
      <c r="E152" s="358"/>
      <c r="F152" s="358"/>
      <c r="G152" s="358"/>
      <c r="H152" s="358"/>
      <c r="I152" s="358"/>
      <c r="J152" s="358"/>
    </row>
    <row r="153" spans="1:10">
      <c r="A153" s="332" t="s">
        <v>304</v>
      </c>
      <c r="B153" s="332"/>
      <c r="C153" s="329"/>
      <c r="D153" s="358"/>
      <c r="E153" s="358"/>
      <c r="F153" s="358"/>
      <c r="G153" s="358"/>
      <c r="H153" s="358"/>
      <c r="I153" s="358"/>
      <c r="J153" s="358"/>
    </row>
    <row r="154" spans="1:10">
      <c r="A154" s="332" t="s">
        <v>379</v>
      </c>
      <c r="B154" s="273" t="s">
        <v>347</v>
      </c>
      <c r="C154" s="393">
        <v>1400</v>
      </c>
      <c r="D154" s="358">
        <f>(B37+B46+B54)*$C$154*D135</f>
        <v>1202670</v>
      </c>
      <c r="E154" s="358">
        <f t="shared" ref="E154:J154" si="29">(C37+C46+C54)*$C$154*E135</f>
        <v>2525607</v>
      </c>
      <c r="F154" s="358">
        <f t="shared" si="29"/>
        <v>3977831.0250000013</v>
      </c>
      <c r="G154" s="358">
        <f t="shared" si="29"/>
        <v>5568963.4350000005</v>
      </c>
      <c r="H154" s="358">
        <f t="shared" si="29"/>
        <v>7309264.5084375013</v>
      </c>
      <c r="I154" s="358">
        <f t="shared" si="29"/>
        <v>9209673.2806312516</v>
      </c>
      <c r="J154" s="358">
        <f t="shared" si="29"/>
        <v>11281849.768773286</v>
      </c>
    </row>
    <row r="155" spans="1:10">
      <c r="A155" s="332" t="s">
        <v>752</v>
      </c>
      <c r="B155" s="273" t="s">
        <v>347</v>
      </c>
      <c r="C155" s="393">
        <v>2100</v>
      </c>
      <c r="D155" s="358">
        <f>(B64)*$C$155*D135</f>
        <v>376488</v>
      </c>
      <c r="E155" s="358">
        <f t="shared" ref="E155:J155" si="30">(C64)*$C$155*E135</f>
        <v>790624.8</v>
      </c>
      <c r="F155" s="358">
        <f t="shared" si="30"/>
        <v>1245234.06</v>
      </c>
      <c r="G155" s="358">
        <f t="shared" si="30"/>
        <v>1743327.6839999999</v>
      </c>
      <c r="H155" s="358">
        <f t="shared" si="30"/>
        <v>2288117.58525</v>
      </c>
      <c r="I155" s="358">
        <f t="shared" si="30"/>
        <v>2883028.1574150003</v>
      </c>
      <c r="J155" s="358">
        <f t="shared" si="30"/>
        <v>3531709.4928333755</v>
      </c>
    </row>
    <row r="156" spans="1:10">
      <c r="A156" s="332" t="s">
        <v>791</v>
      </c>
      <c r="B156" s="273" t="s">
        <v>347</v>
      </c>
      <c r="C156" s="393">
        <f>Annex1!K34*100</f>
        <v>8799.9999999999927</v>
      </c>
      <c r="D156" s="358">
        <f>(Annex1!N33)*$C$156*D135</f>
        <v>83034.94736842085</v>
      </c>
      <c r="E156" s="358">
        <f>(Annex1!O33)*$C$156*E135</f>
        <v>174373.38947368378</v>
      </c>
      <c r="F156" s="358">
        <f>(Annex1!P33)*$C$156*F135</f>
        <v>274638.08842105226</v>
      </c>
      <c r="G156" s="358">
        <f>(Annex1!Q33)*$C$156*G135</f>
        <v>384493.32378947281</v>
      </c>
      <c r="H156" s="358">
        <f>(Annex1!R33)*$C$156*H135</f>
        <v>504647.48747368396</v>
      </c>
      <c r="I156" s="358">
        <f>(Annex1!S33)*$C$156*I135</f>
        <v>635855.83421684138</v>
      </c>
      <c r="J156" s="358">
        <f>(Annex1!T33)*$C$156*J135</f>
        <v>778923.3969156316</v>
      </c>
    </row>
    <row r="157" spans="1:10">
      <c r="A157" s="332" t="s">
        <v>796</v>
      </c>
      <c r="B157" s="273" t="s">
        <v>347</v>
      </c>
      <c r="C157" s="393">
        <v>2300</v>
      </c>
      <c r="D157" s="358">
        <f t="shared" ref="D157:J157" si="31">(B70)*$C$157*D135</f>
        <v>257715.00000000003</v>
      </c>
      <c r="E157" s="358">
        <f t="shared" si="31"/>
        <v>541201.50000000012</v>
      </c>
      <c r="F157" s="358">
        <f t="shared" si="31"/>
        <v>852392.36250000016</v>
      </c>
      <c r="G157" s="358">
        <f t="shared" si="31"/>
        <v>1193349.3075000003</v>
      </c>
      <c r="H157" s="358">
        <f t="shared" si="31"/>
        <v>1566270.9660937502</v>
      </c>
      <c r="I157" s="358">
        <f t="shared" si="31"/>
        <v>1973501.4172781256</v>
      </c>
      <c r="J157" s="358">
        <f t="shared" si="31"/>
        <v>2417539.2361657037</v>
      </c>
    </row>
    <row r="158" spans="1:10">
      <c r="A158" s="332" t="s">
        <v>381</v>
      </c>
      <c r="B158" s="273" t="s">
        <v>347</v>
      </c>
      <c r="C158" s="393">
        <v>3200</v>
      </c>
      <c r="D158" s="358">
        <f t="shared" ref="D158:J158" si="32">(B71)*$C$158*D135</f>
        <v>613137.6</v>
      </c>
      <c r="E158" s="358">
        <f t="shared" si="32"/>
        <v>1287588.96</v>
      </c>
      <c r="F158" s="358">
        <f t="shared" si="32"/>
        <v>2027952.6120000007</v>
      </c>
      <c r="G158" s="358">
        <f t="shared" si="32"/>
        <v>2839133.6568</v>
      </c>
      <c r="H158" s="358">
        <f t="shared" si="32"/>
        <v>3726362.9245500006</v>
      </c>
      <c r="I158" s="358">
        <f t="shared" si="32"/>
        <v>4695217.2849330017</v>
      </c>
      <c r="J158" s="358">
        <f t="shared" si="32"/>
        <v>5751641.1740429271</v>
      </c>
    </row>
    <row r="159" spans="1:10">
      <c r="A159" s="332" t="s">
        <v>797</v>
      </c>
      <c r="B159" s="273" t="s">
        <v>347</v>
      </c>
      <c r="C159" s="393">
        <f>Annex1!K7*100</f>
        <v>19699.999999999982</v>
      </c>
      <c r="D159" s="358">
        <f>(B72)*$C$159*D135</f>
        <v>314842.8078947367</v>
      </c>
      <c r="E159" s="358">
        <f t="shared" ref="E159:J159" si="33">(C72)*$C$159*E135</f>
        <v>661169.89657894708</v>
      </c>
      <c r="F159" s="358">
        <f t="shared" si="33"/>
        <v>1041342.5871118454</v>
      </c>
      <c r="G159" s="358">
        <f t="shared" si="33"/>
        <v>1457879.6219565785</v>
      </c>
      <c r="H159" s="358">
        <f t="shared" si="33"/>
        <v>1913467.0038180081</v>
      </c>
      <c r="I159" s="358">
        <f t="shared" si="33"/>
        <v>2410968.4248106889</v>
      </c>
      <c r="J159" s="358">
        <f t="shared" si="33"/>
        <v>2953436.3203930962</v>
      </c>
    </row>
    <row r="160" spans="1:10">
      <c r="A160" s="332" t="s">
        <v>799</v>
      </c>
      <c r="B160" s="273" t="s">
        <v>347</v>
      </c>
      <c r="C160" s="393">
        <v>3500</v>
      </c>
      <c r="D160" s="358">
        <f t="shared" ref="D160:J160" si="34">(B77)*$C$160*D135</f>
        <v>313740</v>
      </c>
      <c r="E160" s="358">
        <f t="shared" si="34"/>
        <v>658854</v>
      </c>
      <c r="F160" s="358">
        <f t="shared" si="34"/>
        <v>1037695.05</v>
      </c>
      <c r="G160" s="358">
        <f t="shared" si="34"/>
        <v>1452773.0699999998</v>
      </c>
      <c r="H160" s="358">
        <f t="shared" si="34"/>
        <v>1906764.6543750002</v>
      </c>
      <c r="I160" s="358">
        <f t="shared" si="34"/>
        <v>2402523.4645125004</v>
      </c>
      <c r="J160" s="358">
        <f t="shared" si="34"/>
        <v>2943091.244027813</v>
      </c>
    </row>
    <row r="161" spans="1:10">
      <c r="A161" s="332" t="s">
        <v>800</v>
      </c>
      <c r="B161" s="273" t="s">
        <v>347</v>
      </c>
      <c r="C161" s="393">
        <f>Annex1!K49*100</f>
        <v>26014.285714285717</v>
      </c>
      <c r="D161" s="358">
        <f>(B78)*$C$161*D135</f>
        <v>1255649.5384615387</v>
      </c>
      <c r="E161" s="358">
        <f t="shared" ref="E161:J161" si="35">(C78)*$C$161*E135</f>
        <v>2636864.0307692313</v>
      </c>
      <c r="F161" s="358">
        <f t="shared" si="35"/>
        <v>4153060.8484615386</v>
      </c>
      <c r="G161" s="358">
        <f t="shared" si="35"/>
        <v>5814285.1878461549</v>
      </c>
      <c r="H161" s="358">
        <f t="shared" si="35"/>
        <v>7631249.309048078</v>
      </c>
      <c r="I161" s="358">
        <f t="shared" si="35"/>
        <v>9615374.1294005793</v>
      </c>
      <c r="J161" s="358">
        <f t="shared" si="35"/>
        <v>11778833.308515709</v>
      </c>
    </row>
    <row r="162" spans="1:10">
      <c r="A162" s="332"/>
      <c r="B162" s="273"/>
      <c r="C162" s="393"/>
      <c r="D162" s="530"/>
      <c r="E162" s="530"/>
      <c r="F162" s="530"/>
      <c r="G162" s="530"/>
      <c r="H162" s="530"/>
      <c r="I162" s="530"/>
      <c r="J162" s="530"/>
    </row>
    <row r="163" spans="1:10">
      <c r="A163" s="332"/>
      <c r="B163" s="273"/>
      <c r="C163" s="393"/>
      <c r="D163" s="530"/>
      <c r="E163" s="530"/>
      <c r="F163" s="530"/>
      <c r="G163" s="530"/>
      <c r="H163" s="530"/>
      <c r="I163" s="530"/>
      <c r="J163" s="530"/>
    </row>
    <row r="164" spans="1:10">
      <c r="A164" s="329"/>
      <c r="B164" s="273">
        <v>0</v>
      </c>
      <c r="C164" s="393">
        <v>100</v>
      </c>
      <c r="D164" s="358">
        <f t="shared" ref="D164:J164" si="36">(B32/10)*$B$164*$C$164*D135</f>
        <v>0</v>
      </c>
      <c r="E164" s="358">
        <f t="shared" si="36"/>
        <v>0</v>
      </c>
      <c r="F164" s="358">
        <f t="shared" si="36"/>
        <v>0</v>
      </c>
      <c r="G164" s="358">
        <f t="shared" si="36"/>
        <v>0</v>
      </c>
      <c r="H164" s="358">
        <f t="shared" si="36"/>
        <v>0</v>
      </c>
      <c r="I164" s="358">
        <f t="shared" si="36"/>
        <v>0</v>
      </c>
      <c r="J164" s="358">
        <f t="shared" si="36"/>
        <v>0</v>
      </c>
    </row>
    <row r="165" spans="1:10">
      <c r="A165" s="329" t="s">
        <v>309</v>
      </c>
      <c r="B165" s="273">
        <v>0</v>
      </c>
      <c r="C165" s="393">
        <v>300</v>
      </c>
      <c r="D165" s="358">
        <f t="shared" ref="D165:J165" si="37">B12*$B$165*$C$165*D135</f>
        <v>0</v>
      </c>
      <c r="E165" s="358">
        <f t="shared" si="37"/>
        <v>0</v>
      </c>
      <c r="F165" s="358">
        <f t="shared" si="37"/>
        <v>0</v>
      </c>
      <c r="G165" s="358">
        <f t="shared" si="37"/>
        <v>0</v>
      </c>
      <c r="H165" s="358">
        <f t="shared" si="37"/>
        <v>0</v>
      </c>
      <c r="I165" s="358">
        <f t="shared" si="37"/>
        <v>0</v>
      </c>
      <c r="J165" s="358">
        <f t="shared" si="37"/>
        <v>0</v>
      </c>
    </row>
    <row r="166" spans="1:10">
      <c r="A166" s="329" t="s">
        <v>143</v>
      </c>
      <c r="B166" s="488">
        <f>'2.Capex Details'!H53*0.746*8</f>
        <v>323.76400000000001</v>
      </c>
      <c r="C166" s="476">
        <v>9.48</v>
      </c>
      <c r="D166" s="358">
        <f t="shared" ref="D166:J166" si="38">$B$166*$C$166*B12*D135</f>
        <v>184292.68809343741</v>
      </c>
      <c r="E166" s="358">
        <f t="shared" si="38"/>
        <v>387014.64499621856</v>
      </c>
      <c r="F166" s="358">
        <f t="shared" si="38"/>
        <v>609548.0658690444</v>
      </c>
      <c r="G166" s="358">
        <f t="shared" si="38"/>
        <v>853367.29221666197</v>
      </c>
      <c r="H166" s="358">
        <f t="shared" si="38"/>
        <v>1120044.5710343688</v>
      </c>
      <c r="I166" s="358">
        <f t="shared" si="38"/>
        <v>1411256.1595033049</v>
      </c>
      <c r="J166" s="358">
        <f t="shared" si="38"/>
        <v>1728788.7953915484</v>
      </c>
    </row>
    <row r="167" spans="1:10">
      <c r="A167" s="329" t="s">
        <v>287</v>
      </c>
      <c r="B167" s="329"/>
      <c r="C167" s="393">
        <v>10</v>
      </c>
      <c r="D167" s="358">
        <f t="shared" ref="D167:J167" si="39">((B35*100)/50)*$C$167*D135</f>
        <v>0</v>
      </c>
      <c r="E167" s="358">
        <f t="shared" si="39"/>
        <v>0</v>
      </c>
      <c r="F167" s="358">
        <f t="shared" si="39"/>
        <v>0</v>
      </c>
      <c r="G167" s="358">
        <f t="shared" si="39"/>
        <v>0</v>
      </c>
      <c r="H167" s="358">
        <f t="shared" si="39"/>
        <v>0</v>
      </c>
      <c r="I167" s="358">
        <f t="shared" si="39"/>
        <v>0</v>
      </c>
      <c r="J167" s="358">
        <f t="shared" si="39"/>
        <v>0</v>
      </c>
    </row>
    <row r="168" spans="1:10">
      <c r="A168" s="412" t="s">
        <v>696</v>
      </c>
      <c r="B168" s="412"/>
      <c r="C168" s="393">
        <v>150</v>
      </c>
      <c r="D168" s="358">
        <f t="shared" ref="D168:J168" si="40">(((B80+B71+B97+B65+B61)*100)/50)*$C$168*D135</f>
        <v>318027.3868421053</v>
      </c>
      <c r="E168" s="358">
        <f t="shared" si="40"/>
        <v>667857.51236842119</v>
      </c>
      <c r="F168" s="358">
        <f t="shared" si="40"/>
        <v>1051875.5819802633</v>
      </c>
      <c r="G168" s="358">
        <f t="shared" si="40"/>
        <v>1472625.8147723689</v>
      </c>
      <c r="H168" s="358">
        <f t="shared" si="40"/>
        <v>1932821.3818887339</v>
      </c>
      <c r="I168" s="358">
        <f t="shared" si="40"/>
        <v>2435354.9411798045</v>
      </c>
      <c r="J168" s="358">
        <f t="shared" si="40"/>
        <v>2983309.8029452614</v>
      </c>
    </row>
    <row r="169" spans="1:10">
      <c r="A169" s="329" t="s">
        <v>289</v>
      </c>
      <c r="B169" s="329"/>
      <c r="C169" s="393">
        <v>100</v>
      </c>
      <c r="D169" s="358">
        <f t="shared" ref="D169:J169" si="41">(((B80+B71+B97+B65+B61)*100)/50)*$C$169*D135</f>
        <v>212018.25789473686</v>
      </c>
      <c r="E169" s="358">
        <f t="shared" si="41"/>
        <v>445238.34157894744</v>
      </c>
      <c r="F169" s="358">
        <f t="shared" si="41"/>
        <v>701250.38798684231</v>
      </c>
      <c r="G169" s="358">
        <f t="shared" si="41"/>
        <v>981750.54318157909</v>
      </c>
      <c r="H169" s="358">
        <f t="shared" si="41"/>
        <v>1288547.5879258227</v>
      </c>
      <c r="I169" s="358">
        <f t="shared" si="41"/>
        <v>1623569.9607865363</v>
      </c>
      <c r="J169" s="358">
        <f t="shared" si="41"/>
        <v>1988873.2019635076</v>
      </c>
    </row>
    <row r="170" spans="1:10">
      <c r="A170" s="329"/>
      <c r="B170" s="329"/>
      <c r="C170" s="329"/>
      <c r="D170" s="329"/>
      <c r="E170" s="329"/>
      <c r="F170" s="329"/>
      <c r="G170" s="329"/>
      <c r="H170" s="329"/>
      <c r="I170" s="329"/>
      <c r="J170" s="329"/>
    </row>
    <row r="171" spans="1:10">
      <c r="A171" s="329"/>
      <c r="B171" s="329"/>
      <c r="C171" s="329"/>
      <c r="D171" s="329"/>
      <c r="E171" s="329"/>
      <c r="F171" s="329"/>
      <c r="G171" s="329"/>
      <c r="H171" s="329"/>
      <c r="I171" s="329"/>
      <c r="J171" s="329"/>
    </row>
    <row r="172" spans="1:10">
      <c r="A172" s="329"/>
      <c r="B172" s="329"/>
      <c r="C172" s="329"/>
      <c r="D172" s="329"/>
      <c r="E172" s="329"/>
      <c r="F172" s="329"/>
      <c r="G172" s="329"/>
      <c r="H172" s="329"/>
      <c r="I172" s="329"/>
      <c r="J172" s="329"/>
    </row>
    <row r="173" spans="1:10">
      <c r="A173" s="329"/>
      <c r="B173" s="329"/>
      <c r="C173" s="329"/>
      <c r="D173" s="329"/>
      <c r="E173" s="329"/>
      <c r="F173" s="329"/>
      <c r="G173" s="329"/>
      <c r="H173" s="329"/>
      <c r="I173" s="329"/>
      <c r="J173" s="329"/>
    </row>
    <row r="174" spans="1:10">
      <c r="A174" s="401" t="s">
        <v>330</v>
      </c>
      <c r="B174" s="358"/>
      <c r="C174" s="358"/>
      <c r="D174" s="358"/>
      <c r="E174" s="358">
        <f>'5.Closing Stock &amp; W Capital'!F8</f>
        <v>256580.81132774882</v>
      </c>
      <c r="F174" s="358">
        <f>'5.Closing Stock &amp; W Capital'!G8</f>
        <v>538819.70378827245</v>
      </c>
      <c r="G174" s="358">
        <f>'5.Closing Stock &amp; W Capital'!H8</f>
        <v>848641.03346652957</v>
      </c>
      <c r="H174" s="358">
        <f>'5.Closing Stock &amp; W Capital'!I8</f>
        <v>1188097.4468531408</v>
      </c>
      <c r="I174" s="358">
        <f>'5.Closing Stock &amp; W Capital'!J8</f>
        <v>1559377.8989947475</v>
      </c>
      <c r="J174" s="358">
        <f>'5.Closing Stock &amp; W Capital'!K8</f>
        <v>1964816.1527333818</v>
      </c>
    </row>
    <row r="175" spans="1:10">
      <c r="A175" s="401" t="s">
        <v>331</v>
      </c>
      <c r="B175" s="358"/>
      <c r="C175" s="358"/>
      <c r="D175" s="358">
        <f>'5.Closing Stock &amp; W Capital'!E17</f>
        <v>256580.81132774882</v>
      </c>
      <c r="E175" s="358">
        <f>'5.Closing Stock &amp; W Capital'!F17</f>
        <v>538819.70378827245</v>
      </c>
      <c r="F175" s="358">
        <f>'5.Closing Stock &amp; W Capital'!G17</f>
        <v>848641.03346652957</v>
      </c>
      <c r="G175" s="358">
        <f>'5.Closing Stock &amp; W Capital'!H17</f>
        <v>1188097.4468531408</v>
      </c>
      <c r="H175" s="358">
        <f>'5.Closing Stock &amp; W Capital'!I17</f>
        <v>1559377.8989947475</v>
      </c>
      <c r="I175" s="358">
        <f>'5.Closing Stock &amp; W Capital'!J17</f>
        <v>1964816.1527333818</v>
      </c>
      <c r="J175" s="358">
        <f>'5.Closing Stock &amp; W Capital'!K17</f>
        <v>2406899.7870983928</v>
      </c>
    </row>
    <row r="176" spans="1:10">
      <c r="A176" s="358"/>
      <c r="B176" s="358"/>
      <c r="C176" s="358"/>
      <c r="D176" s="358"/>
      <c r="E176" s="358"/>
      <c r="F176" s="358"/>
      <c r="G176" s="358"/>
      <c r="H176" s="358"/>
      <c r="I176" s="358"/>
      <c r="J176" s="358"/>
    </row>
    <row r="177" spans="1:10">
      <c r="A177" s="359" t="s">
        <v>310</v>
      </c>
      <c r="B177" s="358"/>
      <c r="C177" s="358"/>
      <c r="D177" s="359">
        <f t="shared" ref="D177:J177" si="42">SUM(D154:D174)-D175</f>
        <v>4875035.4152272269</v>
      </c>
      <c r="E177" s="359">
        <f t="shared" si="42"/>
        <v>10494155.183304925</v>
      </c>
      <c r="F177" s="359">
        <f t="shared" si="42"/>
        <v>16662999.339652333</v>
      </c>
      <c r="G177" s="359">
        <f t="shared" si="42"/>
        <v>23422492.523676202</v>
      </c>
      <c r="H177" s="359">
        <f t="shared" si="42"/>
        <v>30816277.527753342</v>
      </c>
      <c r="I177" s="359">
        <f t="shared" si="42"/>
        <v>38890884.800928995</v>
      </c>
      <c r="J177" s="359">
        <f t="shared" si="42"/>
        <v>47695912.10760285</v>
      </c>
    </row>
    <row r="179" spans="1:10">
      <c r="A179" s="413" t="s">
        <v>302</v>
      </c>
      <c r="B179" s="413"/>
      <c r="C179" s="413"/>
      <c r="D179" s="359"/>
      <c r="E179" s="359"/>
      <c r="F179" s="359"/>
      <c r="G179" s="359"/>
      <c r="H179" s="359"/>
      <c r="I179" s="359"/>
      <c r="J179" s="359"/>
    </row>
    <row r="180" spans="1:10">
      <c r="A180" s="329" t="s">
        <v>182</v>
      </c>
      <c r="B180" s="298">
        <v>2</v>
      </c>
      <c r="C180" s="465">
        <v>15000</v>
      </c>
      <c r="D180" s="358">
        <f t="shared" ref="D180:J180" si="43">$B$180*$C$180*12*D135</f>
        <v>360000</v>
      </c>
      <c r="E180" s="358">
        <f t="shared" si="43"/>
        <v>378000</v>
      </c>
      <c r="F180" s="358">
        <f t="shared" si="43"/>
        <v>396900</v>
      </c>
      <c r="G180" s="358">
        <f t="shared" si="43"/>
        <v>416745.00000000006</v>
      </c>
      <c r="H180" s="358">
        <f t="shared" si="43"/>
        <v>437582.25000000006</v>
      </c>
      <c r="I180" s="358">
        <f t="shared" si="43"/>
        <v>459461.3625000001</v>
      </c>
      <c r="J180" s="358">
        <f t="shared" si="43"/>
        <v>482434.43062500015</v>
      </c>
    </row>
    <row r="181" spans="1:10">
      <c r="A181" s="329" t="s">
        <v>704</v>
      </c>
      <c r="B181" s="298">
        <v>3</v>
      </c>
      <c r="C181" s="465">
        <v>9000</v>
      </c>
      <c r="D181" s="358">
        <f t="shared" ref="D181:J181" si="44">$B$181*$C$181*12*D135</f>
        <v>324000</v>
      </c>
      <c r="E181" s="358">
        <f t="shared" si="44"/>
        <v>340200</v>
      </c>
      <c r="F181" s="358">
        <f t="shared" si="44"/>
        <v>357210</v>
      </c>
      <c r="G181" s="358">
        <f t="shared" si="44"/>
        <v>375070.50000000006</v>
      </c>
      <c r="H181" s="358">
        <f t="shared" si="44"/>
        <v>393824.02500000008</v>
      </c>
      <c r="I181" s="358">
        <f t="shared" si="44"/>
        <v>413515.22625000012</v>
      </c>
      <c r="J181" s="358">
        <f t="shared" si="44"/>
        <v>434190.98756250012</v>
      </c>
    </row>
    <row r="182" spans="1:10">
      <c r="A182" s="329"/>
      <c r="B182" s="273"/>
      <c r="C182" s="393"/>
      <c r="D182" s="358"/>
      <c r="E182" s="358"/>
      <c r="F182" s="358"/>
      <c r="G182" s="358"/>
      <c r="H182" s="358"/>
      <c r="I182" s="358"/>
      <c r="J182" s="358"/>
    </row>
    <row r="183" spans="1:10">
      <c r="A183" s="329"/>
      <c r="B183" s="273"/>
      <c r="C183" s="393"/>
      <c r="D183" s="358"/>
      <c r="E183" s="358"/>
      <c r="F183" s="358"/>
      <c r="G183" s="358"/>
      <c r="H183" s="358"/>
      <c r="I183" s="358"/>
      <c r="J183" s="358"/>
    </row>
    <row r="184" spans="1:10">
      <c r="A184" s="329"/>
      <c r="B184" s="273"/>
      <c r="C184" s="393"/>
      <c r="D184" s="358"/>
      <c r="E184" s="358"/>
      <c r="F184" s="358"/>
      <c r="G184" s="358"/>
      <c r="H184" s="358"/>
      <c r="I184" s="358"/>
      <c r="J184" s="358"/>
    </row>
    <row r="185" spans="1:10">
      <c r="A185" s="332" t="s">
        <v>302</v>
      </c>
      <c r="B185" s="332"/>
      <c r="C185" s="332"/>
      <c r="D185" s="359">
        <f>SUM(D180:D184)</f>
        <v>684000</v>
      </c>
      <c r="E185" s="359">
        <f t="shared" ref="E185:J185" si="45">SUM(E180:E184)</f>
        <v>718200</v>
      </c>
      <c r="F185" s="359">
        <f t="shared" si="45"/>
        <v>754110</v>
      </c>
      <c r="G185" s="359">
        <f t="shared" si="45"/>
        <v>791815.50000000012</v>
      </c>
      <c r="H185" s="359">
        <f t="shared" si="45"/>
        <v>831406.27500000014</v>
      </c>
      <c r="I185" s="359">
        <f t="shared" si="45"/>
        <v>872976.58875000023</v>
      </c>
      <c r="J185" s="359">
        <f t="shared" si="45"/>
        <v>916625.41818750021</v>
      </c>
    </row>
    <row r="186" spans="1:10">
      <c r="A186" s="418" t="s">
        <v>290</v>
      </c>
      <c r="B186" s="418"/>
      <c r="C186" s="418"/>
      <c r="D186" s="405">
        <f t="shared" ref="D186:J186" si="46">D177+D185</f>
        <v>5559035.4152272269</v>
      </c>
      <c r="E186" s="405">
        <f t="shared" si="46"/>
        <v>11212355.183304925</v>
      </c>
      <c r="F186" s="405">
        <f t="shared" si="46"/>
        <v>17417109.339652333</v>
      </c>
      <c r="G186" s="405">
        <f t="shared" si="46"/>
        <v>24214308.023676202</v>
      </c>
      <c r="H186" s="405">
        <f t="shared" si="46"/>
        <v>31647683.80275334</v>
      </c>
      <c r="I186" s="405">
        <f t="shared" si="46"/>
        <v>39763861.389678992</v>
      </c>
      <c r="J186" s="405">
        <f t="shared" si="46"/>
        <v>48612537.525790349</v>
      </c>
    </row>
    <row r="187" spans="1:10">
      <c r="A187" s="329"/>
      <c r="B187" s="329"/>
      <c r="C187" s="329"/>
      <c r="D187" s="358"/>
      <c r="E187" s="358"/>
      <c r="F187" s="358"/>
      <c r="G187" s="358"/>
      <c r="H187" s="358"/>
      <c r="I187" s="358"/>
      <c r="J187" s="358"/>
    </row>
    <row r="188" spans="1:10">
      <c r="A188" s="332" t="s">
        <v>7</v>
      </c>
      <c r="B188" s="332"/>
      <c r="C188" s="332"/>
      <c r="D188" s="359">
        <f t="shared" ref="D188:J188" si="47">D150-D186</f>
        <v>201842.95015738904</v>
      </c>
      <c r="E188" s="359">
        <f t="shared" si="47"/>
        <v>975687.05390408263</v>
      </c>
      <c r="F188" s="359">
        <f t="shared" si="47"/>
        <v>1826410.9606500491</v>
      </c>
      <c r="G188" s="359">
        <f t="shared" si="47"/>
        <v>2759768.0404358655</v>
      </c>
      <c r="H188" s="359">
        <f t="shared" si="47"/>
        <v>3781894.8007986285</v>
      </c>
      <c r="I188" s="359">
        <f t="shared" si="47"/>
        <v>4899334.8170965835</v>
      </c>
      <c r="J188" s="359">
        <f t="shared" si="47"/>
        <v>6119064.0980223119</v>
      </c>
    </row>
    <row r="189" spans="1:10">
      <c r="A189" s="414"/>
      <c r="B189" s="414"/>
      <c r="C189" s="414"/>
      <c r="D189" s="436">
        <f t="shared" ref="D189:J189" si="48">D188/D150</f>
        <v>3.5036835939846009E-2</v>
      </c>
      <c r="E189" s="436">
        <f t="shared" si="48"/>
        <v>8.0052812003341842E-2</v>
      </c>
      <c r="F189" s="436">
        <f t="shared" si="48"/>
        <v>9.4910439054196855E-2</v>
      </c>
      <c r="G189" s="436">
        <f t="shared" si="48"/>
        <v>0.10231186543244114</v>
      </c>
      <c r="H189" s="436">
        <f t="shared" si="48"/>
        <v>0.10674399611457634</v>
      </c>
      <c r="I189" s="436">
        <f t="shared" si="48"/>
        <v>0.1096951233497556</v>
      </c>
      <c r="J189" s="436">
        <f t="shared" si="48"/>
        <v>0.11180129790610815</v>
      </c>
    </row>
    <row r="192" spans="1:10">
      <c r="A192" s="556" t="s">
        <v>401</v>
      </c>
      <c r="B192" s="556"/>
      <c r="C192" s="556"/>
      <c r="D192" s="556"/>
      <c r="E192" s="556"/>
      <c r="F192" s="556"/>
      <c r="G192" s="556"/>
      <c r="H192" s="556"/>
      <c r="I192" s="556"/>
      <c r="J192" s="556"/>
    </row>
    <row r="194" spans="1:2">
      <c r="A194" s="263" t="s">
        <v>514</v>
      </c>
    </row>
    <row r="195" spans="1:2">
      <c r="A195" s="263">
        <v>1</v>
      </c>
      <c r="B195" s="263" t="s">
        <v>527</v>
      </c>
    </row>
    <row r="196" spans="1:2">
      <c r="A196" s="263">
        <v>2</v>
      </c>
      <c r="B196" s="263" t="s">
        <v>528</v>
      </c>
    </row>
    <row r="197" spans="1:2">
      <c r="A197" s="263">
        <v>3</v>
      </c>
      <c r="B197" s="263" t="s">
        <v>577</v>
      </c>
    </row>
    <row r="200" spans="1:2">
      <c r="A200" s="263" t="s">
        <v>670</v>
      </c>
      <c r="B200" s="263" t="s">
        <v>671</v>
      </c>
    </row>
    <row r="201" spans="1:2">
      <c r="B201" s="263" t="s">
        <v>683</v>
      </c>
    </row>
  </sheetData>
  <mergeCells count="4">
    <mergeCell ref="A133:J133"/>
    <mergeCell ref="A3:H3"/>
    <mergeCell ref="A192:J192"/>
    <mergeCell ref="A4:H4"/>
  </mergeCells>
  <pageMargins left="0.7" right="0.7" top="0.75" bottom="0.75" header="0.3" footer="0.3"/>
  <pageSetup paperSize="9" scale="42" orientation="portrait" r:id="rId1"/>
  <rowBreaks count="1" manualBreakCount="1">
    <brk id="127" max="9"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topLeftCell="A16" zoomScale="80" zoomScaleSheetLayoutView="80" workbookViewId="0">
      <selection activeCell="C29" sqref="C29"/>
    </sheetView>
  </sheetViews>
  <sheetFormatPr defaultRowHeight="14.25"/>
  <cols>
    <col min="1" max="1" width="30.5703125" style="263" bestFit="1" customWidth="1"/>
    <col min="2" max="2" width="11.28515625" style="263" customWidth="1"/>
    <col min="3" max="3" width="11.140625" style="263" customWidth="1"/>
    <col min="4" max="10" width="12.85546875" style="263" bestFit="1" customWidth="1"/>
    <col min="11" max="16384" width="9.140625" style="263"/>
  </cols>
  <sheetData>
    <row r="2" spans="1:10" ht="18">
      <c r="A2" s="629" t="s">
        <v>564</v>
      </c>
      <c r="B2" s="629"/>
      <c r="C2" s="629"/>
      <c r="D2" s="629"/>
      <c r="E2" s="629"/>
      <c r="F2" s="629"/>
      <c r="G2" s="629"/>
      <c r="H2" s="629"/>
    </row>
    <row r="3" spans="1:10" ht="18">
      <c r="A3" s="629" t="s">
        <v>565</v>
      </c>
      <c r="B3" s="629"/>
      <c r="C3" s="629"/>
      <c r="D3" s="629"/>
      <c r="E3" s="629"/>
      <c r="F3" s="629"/>
      <c r="G3" s="629"/>
      <c r="H3" s="629"/>
    </row>
    <row r="4" spans="1:10">
      <c r="A4" s="386" t="s">
        <v>159</v>
      </c>
      <c r="B4" s="473">
        <v>600</v>
      </c>
      <c r="C4" s="419" t="s">
        <v>291</v>
      </c>
      <c r="D4" s="419"/>
      <c r="E4" s="419"/>
      <c r="F4" s="419"/>
      <c r="G4" s="353"/>
    </row>
    <row r="5" spans="1:10">
      <c r="A5" s="386"/>
      <c r="B5" s="420"/>
      <c r="C5" s="353"/>
      <c r="D5" s="353"/>
      <c r="E5" s="353"/>
      <c r="F5" s="353"/>
      <c r="G5" s="353"/>
    </row>
    <row r="6" spans="1:10">
      <c r="A6" s="386" t="s">
        <v>293</v>
      </c>
      <c r="B6" s="421">
        <v>12</v>
      </c>
      <c r="C6" s="353"/>
      <c r="D6" s="421"/>
      <c r="E6" s="421"/>
      <c r="F6" s="353"/>
      <c r="G6" s="353"/>
    </row>
    <row r="7" spans="1:10">
      <c r="A7" s="386"/>
      <c r="C7" s="421"/>
      <c r="D7" s="421"/>
      <c r="E7" s="421"/>
      <c r="F7" s="353"/>
      <c r="G7" s="353"/>
    </row>
    <row r="8" spans="1:10">
      <c r="A8" s="378" t="s">
        <v>128</v>
      </c>
      <c r="B8" s="379" t="s">
        <v>2</v>
      </c>
      <c r="C8" s="379" t="s">
        <v>3</v>
      </c>
      <c r="D8" s="379" t="s">
        <v>4</v>
      </c>
      <c r="E8" s="379" t="s">
        <v>5</v>
      </c>
      <c r="F8" s="379" t="s">
        <v>6</v>
      </c>
      <c r="G8" s="379" t="s">
        <v>166</v>
      </c>
      <c r="H8" s="379" t="s">
        <v>165</v>
      </c>
    </row>
    <row r="9" spans="1:10">
      <c r="A9" s="329" t="s">
        <v>294</v>
      </c>
      <c r="B9" s="343">
        <v>0.8</v>
      </c>
      <c r="C9" s="343">
        <f>B9+5%</f>
        <v>0.85000000000000009</v>
      </c>
      <c r="D9" s="343">
        <f>C9+5%</f>
        <v>0.90000000000000013</v>
      </c>
      <c r="E9" s="343">
        <f>D9+5%</f>
        <v>0.95000000000000018</v>
      </c>
      <c r="F9" s="343">
        <f>E9+5%</f>
        <v>1.0000000000000002</v>
      </c>
      <c r="G9" s="343">
        <f>F9</f>
        <v>1.0000000000000002</v>
      </c>
      <c r="H9" s="343">
        <f>G9</f>
        <v>1.0000000000000002</v>
      </c>
    </row>
    <row r="10" spans="1:10">
      <c r="A10" s="332" t="s">
        <v>311</v>
      </c>
      <c r="B10" s="422">
        <f>$B$4*B9*$B$6</f>
        <v>5760</v>
      </c>
      <c r="C10" s="422">
        <f t="shared" ref="C10:H10" si="0">$B$4*C9*$B$6</f>
        <v>6120.0000000000009</v>
      </c>
      <c r="D10" s="422">
        <f t="shared" si="0"/>
        <v>6480.0000000000018</v>
      </c>
      <c r="E10" s="422">
        <f t="shared" si="0"/>
        <v>6840.0000000000018</v>
      </c>
      <c r="F10" s="422">
        <f t="shared" si="0"/>
        <v>7200.0000000000018</v>
      </c>
      <c r="G10" s="422">
        <f t="shared" si="0"/>
        <v>7200.0000000000018</v>
      </c>
      <c r="H10" s="422">
        <f t="shared" si="0"/>
        <v>7200.0000000000018</v>
      </c>
    </row>
    <row r="15" spans="1:10" ht="18">
      <c r="A15" s="601" t="s">
        <v>566</v>
      </c>
      <c r="B15" s="601"/>
      <c r="C15" s="601"/>
      <c r="D15" s="601"/>
      <c r="E15" s="601"/>
      <c r="F15" s="601"/>
      <c r="G15" s="601"/>
      <c r="H15" s="601"/>
      <c r="I15" s="601"/>
      <c r="J15" s="601"/>
    </row>
    <row r="16" spans="1:10">
      <c r="A16" s="287"/>
      <c r="B16" s="287"/>
      <c r="C16" s="287"/>
      <c r="D16" s="287"/>
      <c r="E16" s="287"/>
      <c r="F16" s="287"/>
      <c r="G16" s="287"/>
      <c r="H16" s="287"/>
    </row>
    <row r="17" spans="1:10">
      <c r="D17" s="325">
        <v>1</v>
      </c>
      <c r="E17" s="339">
        <f>(D17*5%)+D17</f>
        <v>1.05</v>
      </c>
      <c r="F17" s="339">
        <f t="shared" ref="F17:J17" si="1">(E17*5%)+E17</f>
        <v>1.1025</v>
      </c>
      <c r="G17" s="339">
        <f t="shared" si="1"/>
        <v>1.1576250000000001</v>
      </c>
      <c r="H17" s="339">
        <f t="shared" si="1"/>
        <v>1.2155062500000002</v>
      </c>
      <c r="I17" s="339">
        <f t="shared" si="1"/>
        <v>1.2762815625000004</v>
      </c>
      <c r="J17" s="339">
        <f t="shared" si="1"/>
        <v>1.3400956406250004</v>
      </c>
    </row>
    <row r="18" spans="1:10">
      <c r="A18" s="378" t="s">
        <v>0</v>
      </c>
      <c r="B18" s="378" t="s">
        <v>133</v>
      </c>
      <c r="C18" s="378" t="s">
        <v>151</v>
      </c>
      <c r="D18" s="379" t="s">
        <v>2</v>
      </c>
      <c r="E18" s="379" t="s">
        <v>3</v>
      </c>
      <c r="F18" s="379" t="s">
        <v>4</v>
      </c>
      <c r="G18" s="379" t="s">
        <v>5</v>
      </c>
      <c r="H18" s="379" t="s">
        <v>6</v>
      </c>
      <c r="I18" s="379" t="s">
        <v>166</v>
      </c>
      <c r="J18" s="379" t="s">
        <v>165</v>
      </c>
    </row>
    <row r="19" spans="1:10">
      <c r="A19" s="329"/>
      <c r="B19" s="329"/>
      <c r="C19" s="329"/>
      <c r="D19" s="329"/>
      <c r="E19" s="329"/>
      <c r="F19" s="329"/>
      <c r="G19" s="329"/>
      <c r="H19" s="329"/>
      <c r="I19" s="329"/>
      <c r="J19" s="329"/>
    </row>
    <row r="20" spans="1:10">
      <c r="A20" s="332" t="s">
        <v>724</v>
      </c>
      <c r="B20" s="332"/>
      <c r="C20" s="332"/>
      <c r="D20" s="329"/>
      <c r="E20" s="329"/>
      <c r="F20" s="329"/>
      <c r="G20" s="329"/>
      <c r="H20" s="329"/>
      <c r="I20" s="329"/>
      <c r="J20" s="329"/>
    </row>
    <row r="21" spans="1:10">
      <c r="A21" s="329" t="s">
        <v>312</v>
      </c>
      <c r="B21" s="329"/>
      <c r="C21" s="393">
        <v>0</v>
      </c>
      <c r="D21" s="358">
        <f t="shared" ref="D21:J21" si="2">B10*$C$21*D17</f>
        <v>0</v>
      </c>
      <c r="E21" s="358">
        <f t="shared" si="2"/>
        <v>0</v>
      </c>
      <c r="F21" s="358">
        <f t="shared" si="2"/>
        <v>0</v>
      </c>
      <c r="G21" s="358">
        <f t="shared" si="2"/>
        <v>0</v>
      </c>
      <c r="H21" s="358">
        <f t="shared" si="2"/>
        <v>0</v>
      </c>
      <c r="I21" s="358">
        <f t="shared" si="2"/>
        <v>0</v>
      </c>
      <c r="J21" s="358">
        <f t="shared" si="2"/>
        <v>0</v>
      </c>
    </row>
    <row r="22" spans="1:10">
      <c r="A22" s="329"/>
      <c r="B22" s="329"/>
      <c r="C22" s="358"/>
      <c r="D22" s="358"/>
      <c r="E22" s="358"/>
      <c r="F22" s="358"/>
      <c r="G22" s="358"/>
      <c r="H22" s="358"/>
      <c r="I22" s="358"/>
      <c r="J22" s="358"/>
    </row>
    <row r="23" spans="1:10">
      <c r="A23" s="332" t="s">
        <v>142</v>
      </c>
      <c r="B23" s="332"/>
      <c r="C23" s="359"/>
      <c r="D23" s="358">
        <f>SUM(D21:D22)</f>
        <v>0</v>
      </c>
      <c r="E23" s="358">
        <f t="shared" ref="E23:J23" si="3">SUM(E21:E22)</f>
        <v>0</v>
      </c>
      <c r="F23" s="358">
        <f t="shared" si="3"/>
        <v>0</v>
      </c>
      <c r="G23" s="358">
        <f t="shared" si="3"/>
        <v>0</v>
      </c>
      <c r="H23" s="358">
        <f t="shared" si="3"/>
        <v>0</v>
      </c>
      <c r="I23" s="358">
        <f t="shared" si="3"/>
        <v>0</v>
      </c>
      <c r="J23" s="358">
        <f t="shared" si="3"/>
        <v>0</v>
      </c>
    </row>
    <row r="24" spans="1:10">
      <c r="A24" s="329"/>
      <c r="B24" s="329"/>
      <c r="C24" s="358"/>
      <c r="D24" s="358"/>
      <c r="E24" s="358"/>
      <c r="F24" s="358"/>
      <c r="G24" s="358"/>
      <c r="H24" s="358"/>
      <c r="I24" s="358"/>
      <c r="J24" s="358"/>
    </row>
    <row r="25" spans="1:10">
      <c r="A25" s="332" t="s">
        <v>141</v>
      </c>
      <c r="B25" s="332"/>
      <c r="C25" s="358"/>
      <c r="D25" s="358"/>
      <c r="E25" s="358"/>
      <c r="F25" s="358"/>
      <c r="G25" s="358"/>
      <c r="H25" s="358"/>
      <c r="I25" s="358"/>
      <c r="J25" s="358"/>
    </row>
    <row r="26" spans="1:10">
      <c r="A26" s="332" t="s">
        <v>304</v>
      </c>
      <c r="B26" s="332"/>
      <c r="C26" s="358"/>
      <c r="D26" s="358"/>
      <c r="E26" s="358"/>
      <c r="F26" s="358"/>
      <c r="G26" s="358"/>
      <c r="H26" s="358"/>
      <c r="I26" s="358"/>
      <c r="J26" s="358"/>
    </row>
    <row r="27" spans="1:10">
      <c r="A27" s="329" t="s">
        <v>295</v>
      </c>
      <c r="B27" s="273" t="s">
        <v>291</v>
      </c>
      <c r="C27" s="393">
        <v>6</v>
      </c>
      <c r="D27" s="358">
        <f>$B$4*$C$27*D17*4</f>
        <v>14400</v>
      </c>
      <c r="E27" s="358">
        <f t="shared" ref="E27:J27" si="4">$B$4*$C$27*E17*4</f>
        <v>15120</v>
      </c>
      <c r="F27" s="358">
        <f t="shared" si="4"/>
        <v>15876</v>
      </c>
      <c r="G27" s="358">
        <f t="shared" si="4"/>
        <v>16669.800000000003</v>
      </c>
      <c r="H27" s="358">
        <f t="shared" si="4"/>
        <v>17503.290000000005</v>
      </c>
      <c r="I27" s="358">
        <f t="shared" si="4"/>
        <v>18378.454500000003</v>
      </c>
      <c r="J27" s="358">
        <f t="shared" si="4"/>
        <v>19297.377225000007</v>
      </c>
    </row>
    <row r="28" spans="1:10">
      <c r="A28" s="329" t="s">
        <v>296</v>
      </c>
      <c r="B28" s="273" t="s">
        <v>291</v>
      </c>
      <c r="C28" s="393">
        <v>7</v>
      </c>
      <c r="D28" s="358">
        <f t="shared" ref="D28:J28" si="5">$B$4*$C$28*D17*12</f>
        <v>50400</v>
      </c>
      <c r="E28" s="358">
        <f t="shared" si="5"/>
        <v>52920</v>
      </c>
      <c r="F28" s="358">
        <f t="shared" si="5"/>
        <v>55566</v>
      </c>
      <c r="G28" s="358">
        <f t="shared" si="5"/>
        <v>58344.3</v>
      </c>
      <c r="H28" s="358">
        <f t="shared" si="5"/>
        <v>61261.515000000014</v>
      </c>
      <c r="I28" s="358">
        <f t="shared" si="5"/>
        <v>64324.590750000018</v>
      </c>
      <c r="J28" s="358">
        <f t="shared" si="5"/>
        <v>67540.820287500013</v>
      </c>
    </row>
    <row r="29" spans="1:10">
      <c r="A29" s="329" t="s">
        <v>297</v>
      </c>
      <c r="B29" s="273"/>
      <c r="C29" s="393">
        <v>10000</v>
      </c>
      <c r="D29" s="358">
        <f>$C$29*12*D17</f>
        <v>120000</v>
      </c>
      <c r="E29" s="358">
        <f t="shared" ref="E29:J29" si="6">$C$29*12*E17</f>
        <v>126000</v>
      </c>
      <c r="F29" s="358">
        <f t="shared" si="6"/>
        <v>132300</v>
      </c>
      <c r="G29" s="358">
        <f t="shared" si="6"/>
        <v>138915.00000000003</v>
      </c>
      <c r="H29" s="358">
        <f t="shared" si="6"/>
        <v>145860.75000000003</v>
      </c>
      <c r="I29" s="358">
        <f t="shared" si="6"/>
        <v>153153.78750000003</v>
      </c>
      <c r="J29" s="358">
        <f t="shared" si="6"/>
        <v>160811.47687500005</v>
      </c>
    </row>
    <row r="30" spans="1:10">
      <c r="A30" s="329"/>
      <c r="B30" s="273"/>
      <c r="C30" s="393"/>
      <c r="D30" s="358"/>
      <c r="E30" s="358"/>
      <c r="F30" s="358"/>
      <c r="G30" s="358"/>
      <c r="H30" s="358"/>
      <c r="I30" s="358"/>
      <c r="J30" s="358"/>
    </row>
    <row r="31" spans="1:10">
      <c r="A31" s="329"/>
      <c r="B31" s="273"/>
      <c r="C31" s="393"/>
      <c r="D31" s="358"/>
      <c r="E31" s="358"/>
      <c r="F31" s="358"/>
      <c r="G31" s="358"/>
      <c r="H31" s="358"/>
      <c r="I31" s="358"/>
      <c r="J31" s="358"/>
    </row>
    <row r="32" spans="1:10">
      <c r="A32" s="329"/>
      <c r="B32" s="273"/>
      <c r="C32" s="393"/>
      <c r="D32" s="358"/>
      <c r="E32" s="358"/>
      <c r="F32" s="358"/>
      <c r="G32" s="358"/>
      <c r="H32" s="358"/>
      <c r="I32" s="358"/>
      <c r="J32" s="358"/>
    </row>
    <row r="33" spans="1:10">
      <c r="A33" s="329"/>
      <c r="B33" s="273"/>
      <c r="C33" s="393"/>
      <c r="D33" s="358"/>
      <c r="E33" s="358"/>
      <c r="F33" s="358"/>
      <c r="G33" s="358"/>
      <c r="H33" s="358"/>
      <c r="I33" s="358"/>
      <c r="J33" s="358"/>
    </row>
    <row r="34" spans="1:10">
      <c r="A34" s="332" t="s">
        <v>310</v>
      </c>
      <c r="B34" s="277"/>
      <c r="C34" s="389"/>
      <c r="D34" s="359">
        <f>SUM(D27:D33)</f>
        <v>184800</v>
      </c>
      <c r="E34" s="359">
        <f t="shared" ref="E34:J34" si="7">SUM(E27:E33)</f>
        <v>194040</v>
      </c>
      <c r="F34" s="359">
        <f t="shared" si="7"/>
        <v>203742</v>
      </c>
      <c r="G34" s="359">
        <f t="shared" si="7"/>
        <v>213929.10000000003</v>
      </c>
      <c r="H34" s="359">
        <f t="shared" si="7"/>
        <v>224625.55500000005</v>
      </c>
      <c r="I34" s="359">
        <f t="shared" si="7"/>
        <v>235856.83275000006</v>
      </c>
      <c r="J34" s="359">
        <f t="shared" si="7"/>
        <v>247649.67438750007</v>
      </c>
    </row>
    <row r="35" spans="1:10">
      <c r="A35" s="332"/>
      <c r="B35" s="277"/>
      <c r="C35" s="389"/>
      <c r="D35" s="359"/>
      <c r="E35" s="359"/>
      <c r="F35" s="359"/>
      <c r="G35" s="359"/>
      <c r="H35" s="359"/>
      <c r="I35" s="359"/>
      <c r="J35" s="359"/>
    </row>
    <row r="36" spans="1:10">
      <c r="A36" s="332" t="s">
        <v>302</v>
      </c>
      <c r="B36" s="273"/>
      <c r="C36" s="393"/>
      <c r="D36" s="358"/>
      <c r="E36" s="358"/>
      <c r="F36" s="358"/>
      <c r="G36" s="358"/>
      <c r="H36" s="358"/>
      <c r="I36" s="358"/>
      <c r="J36" s="358"/>
    </row>
    <row r="37" spans="1:10">
      <c r="A37" s="329" t="s">
        <v>725</v>
      </c>
      <c r="B37" s="273">
        <v>1</v>
      </c>
      <c r="C37" s="393">
        <v>15000</v>
      </c>
      <c r="D37" s="358">
        <f>$B$37*$C$37*D17*12</f>
        <v>180000</v>
      </c>
      <c r="E37" s="358">
        <f t="shared" ref="E37:J37" si="8">$B$37*$C$37*E17*12</f>
        <v>189000</v>
      </c>
      <c r="F37" s="358">
        <f t="shared" si="8"/>
        <v>198450</v>
      </c>
      <c r="G37" s="358">
        <f t="shared" si="8"/>
        <v>208372.50000000006</v>
      </c>
      <c r="H37" s="358">
        <f t="shared" si="8"/>
        <v>218791.12500000006</v>
      </c>
      <c r="I37" s="358">
        <f t="shared" si="8"/>
        <v>229730.68125000005</v>
      </c>
      <c r="J37" s="358">
        <f t="shared" si="8"/>
        <v>241217.21531250008</v>
      </c>
    </row>
    <row r="38" spans="1:10">
      <c r="A38" s="329"/>
      <c r="B38" s="273"/>
      <c r="C38" s="393"/>
      <c r="D38" s="358"/>
      <c r="E38" s="358"/>
      <c r="F38" s="358"/>
      <c r="G38" s="358"/>
      <c r="H38" s="358"/>
      <c r="I38" s="358"/>
      <c r="J38" s="358"/>
    </row>
    <row r="39" spans="1:10">
      <c r="A39" s="329"/>
      <c r="B39" s="273"/>
      <c r="C39" s="393"/>
      <c r="D39" s="358"/>
      <c r="E39" s="358"/>
      <c r="F39" s="358"/>
      <c r="G39" s="358"/>
      <c r="H39" s="358"/>
      <c r="I39" s="358"/>
      <c r="J39" s="358"/>
    </row>
    <row r="40" spans="1:10">
      <c r="A40" s="329"/>
      <c r="B40" s="273"/>
      <c r="C40" s="393"/>
      <c r="D40" s="358"/>
      <c r="E40" s="358"/>
      <c r="F40" s="358"/>
      <c r="G40" s="358"/>
      <c r="H40" s="358"/>
      <c r="I40" s="358"/>
      <c r="J40" s="358"/>
    </row>
    <row r="41" spans="1:10">
      <c r="A41" s="329"/>
      <c r="B41" s="273"/>
      <c r="C41" s="393"/>
      <c r="D41" s="358"/>
      <c r="E41" s="358"/>
      <c r="F41" s="358"/>
      <c r="G41" s="358"/>
      <c r="H41" s="358"/>
      <c r="I41" s="358"/>
      <c r="J41" s="358"/>
    </row>
    <row r="42" spans="1:10">
      <c r="A42" s="329"/>
      <c r="B42" s="273"/>
      <c r="C42" s="393"/>
      <c r="D42" s="358"/>
      <c r="E42" s="358"/>
      <c r="F42" s="358"/>
      <c r="G42" s="358"/>
      <c r="H42" s="358"/>
      <c r="I42" s="358"/>
      <c r="J42" s="358"/>
    </row>
    <row r="43" spans="1:10">
      <c r="A43" s="332" t="s">
        <v>313</v>
      </c>
      <c r="B43" s="332"/>
      <c r="C43" s="359"/>
      <c r="D43" s="359">
        <f>SUM(D37:D42)</f>
        <v>180000</v>
      </c>
      <c r="E43" s="359">
        <f t="shared" ref="E43:J43" si="9">SUM(E37:E42)</f>
        <v>189000</v>
      </c>
      <c r="F43" s="359">
        <f t="shared" si="9"/>
        <v>198450</v>
      </c>
      <c r="G43" s="359">
        <f t="shared" si="9"/>
        <v>208372.50000000006</v>
      </c>
      <c r="H43" s="359">
        <f t="shared" si="9"/>
        <v>218791.12500000006</v>
      </c>
      <c r="I43" s="359">
        <f t="shared" si="9"/>
        <v>229730.68125000005</v>
      </c>
      <c r="J43" s="359">
        <f t="shared" si="9"/>
        <v>241217.21531250008</v>
      </c>
    </row>
    <row r="44" spans="1:10">
      <c r="A44" s="332"/>
      <c r="B44" s="332"/>
      <c r="C44" s="359"/>
      <c r="D44" s="359"/>
      <c r="E44" s="359"/>
      <c r="F44" s="359"/>
      <c r="G44" s="359"/>
      <c r="H44" s="359"/>
      <c r="I44" s="359"/>
      <c r="J44" s="359"/>
    </row>
    <row r="45" spans="1:10">
      <c r="A45" s="332" t="s">
        <v>130</v>
      </c>
      <c r="B45" s="332"/>
      <c r="C45" s="359"/>
      <c r="D45" s="359">
        <f>D34+D43</f>
        <v>364800</v>
      </c>
      <c r="E45" s="359">
        <f t="shared" ref="E45:J45" si="10">E34+E43</f>
        <v>383040</v>
      </c>
      <c r="F45" s="359">
        <f t="shared" si="10"/>
        <v>402192</v>
      </c>
      <c r="G45" s="359">
        <f t="shared" si="10"/>
        <v>422301.60000000009</v>
      </c>
      <c r="H45" s="359">
        <f t="shared" si="10"/>
        <v>443416.68000000011</v>
      </c>
      <c r="I45" s="359">
        <f t="shared" si="10"/>
        <v>465587.51400000008</v>
      </c>
      <c r="J45" s="359">
        <f t="shared" si="10"/>
        <v>488866.88970000017</v>
      </c>
    </row>
    <row r="46" spans="1:10">
      <c r="A46" s="329"/>
      <c r="B46" s="329"/>
      <c r="C46" s="358"/>
      <c r="D46" s="358"/>
      <c r="E46" s="358"/>
      <c r="F46" s="358"/>
      <c r="G46" s="358"/>
      <c r="H46" s="358"/>
      <c r="I46" s="358"/>
      <c r="J46" s="358"/>
    </row>
    <row r="47" spans="1:10">
      <c r="A47" s="332" t="s">
        <v>129</v>
      </c>
      <c r="B47" s="332"/>
      <c r="C47" s="359"/>
      <c r="D47" s="359">
        <f t="shared" ref="D47:J47" si="11">D23-D45</f>
        <v>-364800</v>
      </c>
      <c r="E47" s="359">
        <f t="shared" si="11"/>
        <v>-383040</v>
      </c>
      <c r="F47" s="359">
        <f t="shared" si="11"/>
        <v>-402192</v>
      </c>
      <c r="G47" s="359">
        <f t="shared" si="11"/>
        <v>-422301.60000000009</v>
      </c>
      <c r="H47" s="359">
        <f t="shared" si="11"/>
        <v>-443416.68000000011</v>
      </c>
      <c r="I47" s="359">
        <f t="shared" si="11"/>
        <v>-465587.51400000008</v>
      </c>
      <c r="J47" s="359">
        <f t="shared" si="11"/>
        <v>-488866.88970000017</v>
      </c>
    </row>
    <row r="51" spans="1:10">
      <c r="A51" s="556" t="s">
        <v>401</v>
      </c>
      <c r="B51" s="556"/>
      <c r="C51" s="556"/>
      <c r="D51" s="556"/>
      <c r="E51" s="556"/>
      <c r="F51" s="556"/>
      <c r="G51" s="556"/>
      <c r="H51" s="556"/>
      <c r="I51" s="556"/>
      <c r="J51" s="556"/>
    </row>
    <row r="53" spans="1:10">
      <c r="A53" s="263" t="s">
        <v>514</v>
      </c>
    </row>
    <row r="54" spans="1:10">
      <c r="A54" s="263">
        <v>1</v>
      </c>
      <c r="B54" s="263" t="s">
        <v>527</v>
      </c>
    </row>
    <row r="55" spans="1:10">
      <c r="A55" s="263">
        <v>2</v>
      </c>
      <c r="B55" s="263" t="s">
        <v>528</v>
      </c>
    </row>
    <row r="56" spans="1:10">
      <c r="A56" s="263">
        <v>3</v>
      </c>
      <c r="B56" s="263" t="s">
        <v>577</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P68"/>
  <sheetViews>
    <sheetView view="pageBreakPreview" zoomScale="80" zoomScaleSheetLayoutView="80" workbookViewId="0">
      <selection activeCell="F1" sqref="F1"/>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562" t="s">
        <v>567</v>
      </c>
      <c r="B3" s="562"/>
      <c r="C3" s="562"/>
      <c r="D3" s="562"/>
      <c r="E3" s="562"/>
      <c r="F3" s="562"/>
      <c r="G3" s="562"/>
      <c r="H3" s="562"/>
      <c r="I3" s="562"/>
      <c r="J3" s="562"/>
      <c r="K3" s="562"/>
      <c r="L3" s="562"/>
    </row>
    <row r="4" spans="1:13" ht="18.75">
      <c r="A4" s="562" t="s">
        <v>568</v>
      </c>
      <c r="B4" s="562"/>
      <c r="C4" s="562"/>
      <c r="D4" s="562"/>
      <c r="E4" s="562"/>
      <c r="F4" s="562"/>
      <c r="G4" s="562"/>
      <c r="H4" s="562"/>
      <c r="I4" s="562"/>
      <c r="J4" s="562"/>
      <c r="K4" s="562"/>
      <c r="L4" s="562"/>
    </row>
    <row r="5" spans="1:13">
      <c r="A5" s="75"/>
      <c r="B5" s="75"/>
      <c r="C5" s="75"/>
    </row>
    <row r="6" spans="1:13">
      <c r="A6" s="75"/>
      <c r="B6" s="75"/>
      <c r="C6" s="75"/>
    </row>
    <row r="7" spans="1:13" ht="45">
      <c r="A7" s="225" t="s">
        <v>144</v>
      </c>
      <c r="B7" s="226" t="s">
        <v>409</v>
      </c>
      <c r="C7" s="226" t="s">
        <v>417</v>
      </c>
      <c r="D7" s="226" t="s">
        <v>415</v>
      </c>
      <c r="E7" s="226" t="s">
        <v>416</v>
      </c>
      <c r="F7" s="226" t="s">
        <v>298</v>
      </c>
      <c r="G7" s="226" t="s">
        <v>418</v>
      </c>
      <c r="H7" s="226" t="s">
        <v>419</v>
      </c>
      <c r="I7" s="226" t="s">
        <v>420</v>
      </c>
      <c r="J7" s="228" t="s">
        <v>423</v>
      </c>
      <c r="K7" s="226" t="s">
        <v>421</v>
      </c>
      <c r="L7" s="228" t="s">
        <v>422</v>
      </c>
      <c r="M7" s="226" t="s">
        <v>425</v>
      </c>
    </row>
    <row r="8" spans="1:13">
      <c r="A8" s="227">
        <v>1</v>
      </c>
      <c r="B8" s="222" t="s">
        <v>410</v>
      </c>
      <c r="C8" s="222">
        <v>1</v>
      </c>
      <c r="D8" s="222"/>
      <c r="E8" s="222"/>
      <c r="F8" s="230">
        <f>D8*E8*C8</f>
        <v>0</v>
      </c>
      <c r="G8" s="222">
        <v>4</v>
      </c>
      <c r="H8" s="230">
        <f>F8/G8</f>
        <v>0</v>
      </c>
      <c r="I8" s="222">
        <v>12</v>
      </c>
      <c r="J8" s="230">
        <f>H8*I8</f>
        <v>0</v>
      </c>
      <c r="K8" s="222">
        <v>3000</v>
      </c>
      <c r="L8" s="222">
        <v>1</v>
      </c>
      <c r="M8" s="230">
        <f t="shared" ref="M8:M17" si="0">D8*L8</f>
        <v>0</v>
      </c>
    </row>
    <row r="9" spans="1:13">
      <c r="A9" s="227">
        <v>2</v>
      </c>
      <c r="B9" s="222" t="s">
        <v>411</v>
      </c>
      <c r="C9" s="222">
        <v>1</v>
      </c>
      <c r="D9" s="222"/>
      <c r="E9" s="222"/>
      <c r="F9" s="230">
        <f t="shared" ref="F9:F17" si="1">D9*E9*C9</f>
        <v>0</v>
      </c>
      <c r="G9" s="222">
        <v>2</v>
      </c>
      <c r="H9" s="230">
        <f>F9/G9</f>
        <v>0</v>
      </c>
      <c r="I9" s="222">
        <v>8</v>
      </c>
      <c r="J9" s="230">
        <f t="shared" ref="J9:J17" si="2">H9*I9</f>
        <v>0</v>
      </c>
      <c r="K9" s="222">
        <v>1800</v>
      </c>
      <c r="L9" s="222">
        <v>1</v>
      </c>
      <c r="M9" s="230">
        <f t="shared" si="0"/>
        <v>0</v>
      </c>
    </row>
    <row r="10" spans="1:13">
      <c r="A10" s="227">
        <v>3</v>
      </c>
      <c r="B10" s="222" t="s">
        <v>412</v>
      </c>
      <c r="C10" s="222">
        <v>1</v>
      </c>
      <c r="D10" s="222"/>
      <c r="E10" s="222"/>
      <c r="F10" s="230">
        <f t="shared" si="1"/>
        <v>0</v>
      </c>
      <c r="G10" s="222">
        <v>2</v>
      </c>
      <c r="H10" s="230">
        <f>F10/G10</f>
        <v>0</v>
      </c>
      <c r="I10" s="222">
        <v>8</v>
      </c>
      <c r="J10" s="230">
        <f t="shared" si="2"/>
        <v>0</v>
      </c>
      <c r="K10" s="222">
        <v>1800</v>
      </c>
      <c r="L10" s="222">
        <v>1</v>
      </c>
      <c r="M10" s="230">
        <f t="shared" si="0"/>
        <v>0</v>
      </c>
    </row>
    <row r="11" spans="1:13">
      <c r="A11" s="227">
        <v>4</v>
      </c>
      <c r="B11" s="222" t="s">
        <v>413</v>
      </c>
      <c r="C11" s="222">
        <v>1</v>
      </c>
      <c r="D11" s="222"/>
      <c r="E11" s="222"/>
      <c r="F11" s="230">
        <f t="shared" si="1"/>
        <v>0</v>
      </c>
      <c r="G11" s="222">
        <v>2</v>
      </c>
      <c r="H11" s="230">
        <f>F11/G11</f>
        <v>0</v>
      </c>
      <c r="I11" s="222">
        <v>4</v>
      </c>
      <c r="J11" s="230">
        <f t="shared" si="2"/>
        <v>0</v>
      </c>
      <c r="K11" s="222">
        <v>1200</v>
      </c>
      <c r="L11" s="222">
        <v>1</v>
      </c>
      <c r="M11" s="230">
        <f t="shared" si="0"/>
        <v>0</v>
      </c>
    </row>
    <row r="12" spans="1:13">
      <c r="A12" s="227">
        <v>5</v>
      </c>
      <c r="B12" s="222" t="s">
        <v>414</v>
      </c>
      <c r="C12" s="222">
        <v>1</v>
      </c>
      <c r="D12" s="222"/>
      <c r="E12" s="222"/>
      <c r="F12" s="230">
        <f t="shared" si="1"/>
        <v>0</v>
      </c>
      <c r="G12" s="222">
        <v>2</v>
      </c>
      <c r="H12" s="230">
        <f>F12/G12</f>
        <v>0</v>
      </c>
      <c r="I12" s="222">
        <v>10</v>
      </c>
      <c r="J12" s="230">
        <f t="shared" si="2"/>
        <v>0</v>
      </c>
      <c r="K12" s="222">
        <v>3000</v>
      </c>
      <c r="L12" s="222">
        <v>1</v>
      </c>
      <c r="M12" s="230">
        <f t="shared" si="0"/>
        <v>0</v>
      </c>
    </row>
    <row r="13" spans="1:13">
      <c r="A13" s="227">
        <v>6</v>
      </c>
      <c r="B13" s="8"/>
      <c r="C13" s="8"/>
      <c r="D13" s="8"/>
      <c r="E13" s="8"/>
      <c r="F13" s="230">
        <f t="shared" si="1"/>
        <v>0</v>
      </c>
      <c r="G13" s="8">
        <v>0</v>
      </c>
      <c r="H13" s="222"/>
      <c r="I13" s="8"/>
      <c r="J13" s="230">
        <f t="shared" si="2"/>
        <v>0</v>
      </c>
      <c r="K13" s="8"/>
      <c r="L13" s="230"/>
      <c r="M13" s="230">
        <f t="shared" si="0"/>
        <v>0</v>
      </c>
    </row>
    <row r="14" spans="1:13">
      <c r="A14" s="227">
        <v>7</v>
      </c>
      <c r="B14" s="8"/>
      <c r="C14" s="8"/>
      <c r="D14" s="8"/>
      <c r="E14" s="8"/>
      <c r="F14" s="230">
        <f t="shared" si="1"/>
        <v>0</v>
      </c>
      <c r="G14" s="8">
        <v>0</v>
      </c>
      <c r="H14" s="222"/>
      <c r="I14" s="8"/>
      <c r="J14" s="230">
        <f t="shared" si="2"/>
        <v>0</v>
      </c>
      <c r="K14" s="8"/>
      <c r="L14" s="230"/>
      <c r="M14" s="230">
        <f t="shared" si="0"/>
        <v>0</v>
      </c>
    </row>
    <row r="15" spans="1:13">
      <c r="A15" s="227">
        <v>8</v>
      </c>
      <c r="B15" s="8"/>
      <c r="C15" s="8"/>
      <c r="D15" s="8"/>
      <c r="E15" s="8"/>
      <c r="F15" s="230">
        <f t="shared" si="1"/>
        <v>0</v>
      </c>
      <c r="G15" s="8">
        <v>0</v>
      </c>
      <c r="H15" s="222"/>
      <c r="I15" s="8"/>
      <c r="J15" s="230">
        <f t="shared" si="2"/>
        <v>0</v>
      </c>
      <c r="K15" s="8"/>
      <c r="L15" s="230"/>
      <c r="M15" s="230">
        <f t="shared" si="0"/>
        <v>0</v>
      </c>
    </row>
    <row r="16" spans="1:13">
      <c r="A16" s="227">
        <v>9</v>
      </c>
      <c r="B16" s="8"/>
      <c r="C16" s="8"/>
      <c r="D16" s="8"/>
      <c r="E16" s="8"/>
      <c r="F16" s="230">
        <f t="shared" si="1"/>
        <v>0</v>
      </c>
      <c r="G16" s="8">
        <v>0</v>
      </c>
      <c r="H16" s="222"/>
      <c r="I16" s="8"/>
      <c r="J16" s="230">
        <f t="shared" si="2"/>
        <v>0</v>
      </c>
      <c r="K16" s="8"/>
      <c r="L16" s="230"/>
      <c r="M16" s="230">
        <f t="shared" si="0"/>
        <v>0</v>
      </c>
    </row>
    <row r="17" spans="1:16">
      <c r="A17" s="227">
        <v>10</v>
      </c>
      <c r="B17" s="8"/>
      <c r="C17" s="8"/>
      <c r="D17" s="8"/>
      <c r="E17" s="8"/>
      <c r="F17" s="230">
        <f t="shared" si="1"/>
        <v>0</v>
      </c>
      <c r="G17" s="8">
        <v>0</v>
      </c>
      <c r="H17" s="222"/>
      <c r="I17" s="8"/>
      <c r="J17" s="230">
        <f t="shared" si="2"/>
        <v>0</v>
      </c>
      <c r="K17" s="8"/>
      <c r="L17" s="230"/>
      <c r="M17" s="230">
        <f t="shared" si="0"/>
        <v>0</v>
      </c>
    </row>
    <row r="18" spans="1:16">
      <c r="A18" s="12"/>
      <c r="B18" s="12"/>
      <c r="C18" s="231"/>
      <c r="D18" s="231"/>
      <c r="E18" s="231"/>
      <c r="F18" s="231"/>
      <c r="G18" s="231"/>
      <c r="H18" s="231"/>
      <c r="I18" s="231"/>
      <c r="J18" s="231"/>
      <c r="K18" s="231"/>
      <c r="L18" s="231"/>
      <c r="M18" s="229"/>
    </row>
    <row r="19" spans="1:16">
      <c r="A19" s="12"/>
      <c r="B19" s="12"/>
      <c r="C19" s="231"/>
      <c r="D19" s="231"/>
      <c r="E19" s="231"/>
      <c r="F19" s="231"/>
      <c r="G19" s="231"/>
      <c r="H19" s="231"/>
      <c r="I19" s="231"/>
      <c r="J19" s="231"/>
      <c r="K19" s="231"/>
      <c r="L19" s="231"/>
      <c r="M19" s="229"/>
    </row>
    <row r="21" spans="1:16" ht="18.75">
      <c r="A21" s="562" t="s">
        <v>569</v>
      </c>
      <c r="B21" s="562"/>
      <c r="C21" s="562"/>
      <c r="D21" s="562"/>
      <c r="E21" s="562"/>
      <c r="F21" s="562"/>
      <c r="G21" s="562"/>
      <c r="H21" s="562"/>
      <c r="I21" s="562"/>
      <c r="J21" s="562"/>
      <c r="K21" s="562"/>
    </row>
    <row r="23" spans="1:16">
      <c r="A23" s="75"/>
      <c r="B23" s="75"/>
      <c r="C23" s="75"/>
      <c r="D23" s="75"/>
      <c r="E23" s="159">
        <v>1</v>
      </c>
      <c r="F23" s="159">
        <f>(E23*5%)+E23</f>
        <v>1.05</v>
      </c>
      <c r="G23" s="159">
        <f t="shared" ref="G23:K23" si="3">(F23*5%)+F23</f>
        <v>1.1025</v>
      </c>
      <c r="H23" s="159">
        <f t="shared" si="3"/>
        <v>1.1576250000000001</v>
      </c>
      <c r="I23" s="159">
        <f t="shared" si="3"/>
        <v>1.2155062500000002</v>
      </c>
      <c r="J23" s="159">
        <f t="shared" si="3"/>
        <v>1.2762815625000004</v>
      </c>
      <c r="K23" s="159">
        <f t="shared" si="3"/>
        <v>1.3400956406250004</v>
      </c>
    </row>
    <row r="24" spans="1:16">
      <c r="A24" s="129" t="s">
        <v>0</v>
      </c>
      <c r="B24" s="129" t="s">
        <v>133</v>
      </c>
      <c r="C24" s="129" t="s">
        <v>145</v>
      </c>
      <c r="D24" s="129" t="s">
        <v>151</v>
      </c>
      <c r="E24" s="101" t="s">
        <v>2</v>
      </c>
      <c r="F24" s="101" t="s">
        <v>3</v>
      </c>
      <c r="G24" s="101" t="s">
        <v>4</v>
      </c>
      <c r="H24" s="101" t="s">
        <v>5</v>
      </c>
      <c r="I24" s="101" t="s">
        <v>6</v>
      </c>
      <c r="J24" s="101" t="s">
        <v>166</v>
      </c>
      <c r="K24" s="101" t="s">
        <v>165</v>
      </c>
    </row>
    <row r="25" spans="1:16">
      <c r="A25" s="78"/>
      <c r="B25" s="78"/>
      <c r="C25" s="78"/>
      <c r="D25" s="78"/>
      <c r="E25" s="76"/>
      <c r="F25" s="76"/>
      <c r="G25" s="76"/>
      <c r="H25" s="76"/>
      <c r="I25" s="76"/>
      <c r="J25" s="76"/>
      <c r="K25" s="76"/>
    </row>
    <row r="26" spans="1:16">
      <c r="A26" s="78" t="s">
        <v>127</v>
      </c>
      <c r="B26" s="78"/>
      <c r="C26" s="78"/>
      <c r="D26" s="78"/>
      <c r="E26" s="76"/>
      <c r="F26" s="76"/>
      <c r="G26" s="76"/>
      <c r="H26" s="76"/>
      <c r="I26" s="76"/>
      <c r="J26" s="76"/>
      <c r="K26" s="76"/>
      <c r="P26" s="75"/>
    </row>
    <row r="27" spans="1:16">
      <c r="A27" s="172" t="s">
        <v>427</v>
      </c>
      <c r="B27" s="90"/>
      <c r="C27" s="232"/>
      <c r="D27" s="232"/>
      <c r="E27" s="77"/>
      <c r="F27" s="77"/>
      <c r="G27" s="77"/>
      <c r="H27" s="77"/>
      <c r="I27" s="77"/>
      <c r="J27" s="77"/>
      <c r="K27" s="77"/>
      <c r="P27" s="75"/>
    </row>
    <row r="28" spans="1:16">
      <c r="A28" s="90" t="str">
        <f>B8</f>
        <v>Double Plough</v>
      </c>
      <c r="B28" s="90" t="s">
        <v>673</v>
      </c>
      <c r="C28" s="232">
        <f>H8</f>
        <v>0</v>
      </c>
      <c r="D28" s="232">
        <f>K8</f>
        <v>3000</v>
      </c>
      <c r="E28" s="77">
        <f>$C$28*$D$28*E23</f>
        <v>0</v>
      </c>
      <c r="F28" s="77">
        <f t="shared" ref="F28:K28" si="4">$C$28*$D$28*F23</f>
        <v>0</v>
      </c>
      <c r="G28" s="77">
        <f t="shared" si="4"/>
        <v>0</v>
      </c>
      <c r="H28" s="77">
        <f t="shared" si="4"/>
        <v>0</v>
      </c>
      <c r="I28" s="77">
        <f t="shared" si="4"/>
        <v>0</v>
      </c>
      <c r="J28" s="77">
        <f t="shared" si="4"/>
        <v>0</v>
      </c>
      <c r="K28" s="77">
        <f t="shared" si="4"/>
        <v>0</v>
      </c>
      <c r="P28" s="75"/>
    </row>
    <row r="29" spans="1:16">
      <c r="A29" s="90" t="str">
        <f>B9</f>
        <v>Cultivator</v>
      </c>
      <c r="B29" s="90" t="s">
        <v>673</v>
      </c>
      <c r="C29" s="232">
        <f t="shared" ref="C29:C38" si="5">H9</f>
        <v>0</v>
      </c>
      <c r="D29" s="232">
        <f>K9</f>
        <v>1800</v>
      </c>
      <c r="E29" s="77">
        <f>$C$29*$D$29*E23</f>
        <v>0</v>
      </c>
      <c r="F29" s="77">
        <f t="shared" ref="F29:K29" si="6">$C$29*$D$29*F23</f>
        <v>0</v>
      </c>
      <c r="G29" s="77">
        <f t="shared" si="6"/>
        <v>0</v>
      </c>
      <c r="H29" s="77">
        <f t="shared" si="6"/>
        <v>0</v>
      </c>
      <c r="I29" s="77">
        <f t="shared" si="6"/>
        <v>0</v>
      </c>
      <c r="J29" s="77">
        <f t="shared" si="6"/>
        <v>0</v>
      </c>
      <c r="K29" s="77">
        <f t="shared" si="6"/>
        <v>0</v>
      </c>
      <c r="P29" s="75"/>
    </row>
    <row r="30" spans="1:16">
      <c r="A30" s="90" t="str">
        <f>B10</f>
        <v>Rotavator</v>
      </c>
      <c r="B30" s="90" t="s">
        <v>673</v>
      </c>
      <c r="C30" s="232">
        <f t="shared" si="5"/>
        <v>0</v>
      </c>
      <c r="D30" s="232">
        <f>K10</f>
        <v>1800</v>
      </c>
      <c r="E30" s="77">
        <f>$C$30*$D$30*E23</f>
        <v>0</v>
      </c>
      <c r="F30" s="77">
        <f t="shared" ref="F30:K30" si="7">$C$30*$D$30*F23</f>
        <v>0</v>
      </c>
      <c r="G30" s="77">
        <f t="shared" si="7"/>
        <v>0</v>
      </c>
      <c r="H30" s="77">
        <f t="shared" si="7"/>
        <v>0</v>
      </c>
      <c r="I30" s="77">
        <f t="shared" si="7"/>
        <v>0</v>
      </c>
      <c r="J30" s="77">
        <f t="shared" si="7"/>
        <v>0</v>
      </c>
      <c r="K30" s="77">
        <f t="shared" si="7"/>
        <v>0</v>
      </c>
      <c r="P30" s="75"/>
    </row>
    <row r="31" spans="1:16">
      <c r="A31" s="90" t="str">
        <f>B11</f>
        <v>BBF Seed Sowing Machine</v>
      </c>
      <c r="B31" s="90" t="s">
        <v>673</v>
      </c>
      <c r="C31" s="232">
        <f t="shared" si="5"/>
        <v>0</v>
      </c>
      <c r="D31" s="232">
        <f>K11</f>
        <v>1200</v>
      </c>
      <c r="E31" s="77">
        <f>$C$31*$D$31*E23</f>
        <v>0</v>
      </c>
      <c r="F31" s="77">
        <f t="shared" ref="F31:K31" si="8">$C$31*$D$31*F23</f>
        <v>0</v>
      </c>
      <c r="G31" s="77">
        <f t="shared" si="8"/>
        <v>0</v>
      </c>
      <c r="H31" s="77">
        <f t="shared" si="8"/>
        <v>0</v>
      </c>
      <c r="I31" s="77">
        <f t="shared" si="8"/>
        <v>0</v>
      </c>
      <c r="J31" s="77">
        <f t="shared" si="8"/>
        <v>0</v>
      </c>
      <c r="K31" s="77">
        <f t="shared" si="8"/>
        <v>0</v>
      </c>
      <c r="P31" s="75"/>
    </row>
    <row r="32" spans="1:16">
      <c r="A32" s="90" t="str">
        <f>B12</f>
        <v>Mobile Threshing</v>
      </c>
      <c r="B32" s="90" t="s">
        <v>673</v>
      </c>
      <c r="C32" s="232">
        <f t="shared" si="5"/>
        <v>0</v>
      </c>
      <c r="D32" s="232">
        <f>K12</f>
        <v>3000</v>
      </c>
      <c r="E32" s="77">
        <f>$C$32*$D$32*E23</f>
        <v>0</v>
      </c>
      <c r="F32" s="77">
        <f t="shared" ref="F32:K32" si="9">$C$32*$D$32*F23</f>
        <v>0</v>
      </c>
      <c r="G32" s="77">
        <f t="shared" si="9"/>
        <v>0</v>
      </c>
      <c r="H32" s="77">
        <f t="shared" si="9"/>
        <v>0</v>
      </c>
      <c r="I32" s="77">
        <f t="shared" si="9"/>
        <v>0</v>
      </c>
      <c r="J32" s="77">
        <f t="shared" si="9"/>
        <v>0</v>
      </c>
      <c r="K32" s="77">
        <f t="shared" si="9"/>
        <v>0</v>
      </c>
      <c r="P32" s="75"/>
    </row>
    <row r="33" spans="1:16">
      <c r="A33" s="90"/>
      <c r="B33" s="90"/>
      <c r="C33" s="232">
        <f t="shared" si="5"/>
        <v>0</v>
      </c>
      <c r="D33" s="232">
        <f t="shared" ref="D33:D38" si="10">K13</f>
        <v>0</v>
      </c>
      <c r="E33" s="77">
        <f>$C$33*$D$33*E23</f>
        <v>0</v>
      </c>
      <c r="F33" s="77">
        <f t="shared" ref="F33:K33" si="11">$C$33*$D$33*F23</f>
        <v>0</v>
      </c>
      <c r="G33" s="77">
        <f t="shared" si="11"/>
        <v>0</v>
      </c>
      <c r="H33" s="77">
        <f t="shared" si="11"/>
        <v>0</v>
      </c>
      <c r="I33" s="77">
        <f t="shared" si="11"/>
        <v>0</v>
      </c>
      <c r="J33" s="77">
        <f t="shared" si="11"/>
        <v>0</v>
      </c>
      <c r="K33" s="77">
        <f t="shared" si="11"/>
        <v>0</v>
      </c>
      <c r="P33" s="75"/>
    </row>
    <row r="34" spans="1:16">
      <c r="A34" s="90"/>
      <c r="B34" s="90"/>
      <c r="C34" s="232">
        <f t="shared" si="5"/>
        <v>0</v>
      </c>
      <c r="D34" s="232">
        <f t="shared" si="10"/>
        <v>0</v>
      </c>
      <c r="E34" s="77">
        <f>$C$34*$D$34*E23</f>
        <v>0</v>
      </c>
      <c r="F34" s="77">
        <f t="shared" ref="F34:K34" si="12">$C$34*$D$34*F23</f>
        <v>0</v>
      </c>
      <c r="G34" s="77">
        <f t="shared" si="12"/>
        <v>0</v>
      </c>
      <c r="H34" s="77">
        <f t="shared" si="12"/>
        <v>0</v>
      </c>
      <c r="I34" s="77">
        <f t="shared" si="12"/>
        <v>0</v>
      </c>
      <c r="J34" s="77">
        <f t="shared" si="12"/>
        <v>0</v>
      </c>
      <c r="K34" s="77">
        <f t="shared" si="12"/>
        <v>0</v>
      </c>
      <c r="P34" s="75"/>
    </row>
    <row r="35" spans="1:16">
      <c r="A35" s="90"/>
      <c r="B35" s="90"/>
      <c r="C35" s="232">
        <f t="shared" si="5"/>
        <v>0</v>
      </c>
      <c r="D35" s="232">
        <f t="shared" si="10"/>
        <v>0</v>
      </c>
      <c r="E35" s="77">
        <f>$C$35*$D$35*E23</f>
        <v>0</v>
      </c>
      <c r="F35" s="77">
        <f t="shared" ref="F35:K35" si="13">$C$35*$D$35*F23</f>
        <v>0</v>
      </c>
      <c r="G35" s="77">
        <f t="shared" si="13"/>
        <v>0</v>
      </c>
      <c r="H35" s="77">
        <f t="shared" si="13"/>
        <v>0</v>
      </c>
      <c r="I35" s="77">
        <f t="shared" si="13"/>
        <v>0</v>
      </c>
      <c r="J35" s="77">
        <f t="shared" si="13"/>
        <v>0</v>
      </c>
      <c r="K35" s="77">
        <f t="shared" si="13"/>
        <v>0</v>
      </c>
      <c r="P35" s="75"/>
    </row>
    <row r="36" spans="1:16">
      <c r="A36" s="90"/>
      <c r="B36" s="90"/>
      <c r="C36" s="232">
        <f t="shared" si="5"/>
        <v>0</v>
      </c>
      <c r="D36" s="232">
        <f t="shared" si="10"/>
        <v>0</v>
      </c>
      <c r="E36" s="77">
        <f>$C$36*$D$36*E23</f>
        <v>0</v>
      </c>
      <c r="F36" s="77">
        <f t="shared" ref="F36:K36" si="14">$C$36*$D$36*F23</f>
        <v>0</v>
      </c>
      <c r="G36" s="77">
        <f t="shared" si="14"/>
        <v>0</v>
      </c>
      <c r="H36" s="77">
        <f t="shared" si="14"/>
        <v>0</v>
      </c>
      <c r="I36" s="77">
        <f t="shared" si="14"/>
        <v>0</v>
      </c>
      <c r="J36" s="77">
        <f t="shared" si="14"/>
        <v>0</v>
      </c>
      <c r="K36" s="77">
        <f t="shared" si="14"/>
        <v>0</v>
      </c>
      <c r="P36" s="75"/>
    </row>
    <row r="37" spans="1:16">
      <c r="A37" s="90"/>
      <c r="B37" s="90"/>
      <c r="C37" s="232">
        <f t="shared" si="5"/>
        <v>0</v>
      </c>
      <c r="D37" s="232">
        <f t="shared" si="10"/>
        <v>0</v>
      </c>
      <c r="E37" s="77">
        <f>$C$37*$D$37*E23</f>
        <v>0</v>
      </c>
      <c r="F37" s="77">
        <f t="shared" ref="F37:K37" si="15">$C$37*$D$37*F23</f>
        <v>0</v>
      </c>
      <c r="G37" s="77">
        <f t="shared" si="15"/>
        <v>0</v>
      </c>
      <c r="H37" s="77">
        <f t="shared" si="15"/>
        <v>0</v>
      </c>
      <c r="I37" s="77">
        <f t="shared" si="15"/>
        <v>0</v>
      </c>
      <c r="J37" s="77">
        <f t="shared" si="15"/>
        <v>0</v>
      </c>
      <c r="K37" s="77">
        <f t="shared" si="15"/>
        <v>0</v>
      </c>
      <c r="P37" s="75"/>
    </row>
    <row r="38" spans="1:16">
      <c r="A38" s="78"/>
      <c r="B38" s="78"/>
      <c r="C38" s="232">
        <f t="shared" si="5"/>
        <v>0</v>
      </c>
      <c r="D38" s="232">
        <f t="shared" si="10"/>
        <v>0</v>
      </c>
      <c r="E38" s="77">
        <f>$C$38*$D$38*E23</f>
        <v>0</v>
      </c>
      <c r="F38" s="77">
        <f t="shared" ref="F38:K38" si="16">$C$38*$D$38*F23</f>
        <v>0</v>
      </c>
      <c r="G38" s="77">
        <f t="shared" si="16"/>
        <v>0</v>
      </c>
      <c r="H38" s="77">
        <f t="shared" si="16"/>
        <v>0</v>
      </c>
      <c r="I38" s="77">
        <f t="shared" si="16"/>
        <v>0</v>
      </c>
      <c r="J38" s="77">
        <f t="shared" si="16"/>
        <v>0</v>
      </c>
      <c r="K38" s="77">
        <f t="shared" si="16"/>
        <v>0</v>
      </c>
      <c r="P38" s="75"/>
    </row>
    <row r="39" spans="1:16">
      <c r="A39" s="78" t="s">
        <v>142</v>
      </c>
      <c r="B39" s="78"/>
      <c r="C39" s="82"/>
      <c r="D39" s="82"/>
      <c r="E39" s="77">
        <f>SUM(E28:E38)</f>
        <v>0</v>
      </c>
      <c r="F39" s="77">
        <f t="shared" ref="F39:K39" si="17">SUM(F28:F38)</f>
        <v>0</v>
      </c>
      <c r="G39" s="77">
        <f t="shared" si="17"/>
        <v>0</v>
      </c>
      <c r="H39" s="77">
        <f t="shared" si="17"/>
        <v>0</v>
      </c>
      <c r="I39" s="77">
        <f t="shared" si="17"/>
        <v>0</v>
      </c>
      <c r="J39" s="77">
        <f t="shared" si="17"/>
        <v>0</v>
      </c>
      <c r="K39" s="77">
        <f t="shared" si="17"/>
        <v>0</v>
      </c>
      <c r="P39" s="75"/>
    </row>
    <row r="40" spans="1:16">
      <c r="A40" s="76"/>
      <c r="B40" s="76"/>
      <c r="C40" s="80"/>
      <c r="D40" s="80"/>
      <c r="E40" s="77"/>
      <c r="F40" s="77"/>
      <c r="G40" s="77"/>
      <c r="H40" s="77"/>
      <c r="I40" s="77"/>
      <c r="J40" s="77"/>
      <c r="K40" s="77"/>
      <c r="P40" s="75"/>
    </row>
    <row r="41" spans="1:16">
      <c r="A41" s="78" t="s">
        <v>141</v>
      </c>
      <c r="B41" s="78"/>
      <c r="C41" s="82"/>
      <c r="D41" s="82"/>
      <c r="E41" s="77"/>
      <c r="F41" s="77"/>
      <c r="G41" s="77"/>
      <c r="H41" s="77"/>
      <c r="I41" s="77"/>
      <c r="J41" s="77"/>
      <c r="K41" s="77"/>
      <c r="P41" s="75"/>
    </row>
    <row r="42" spans="1:16">
      <c r="A42" s="78" t="s">
        <v>299</v>
      </c>
      <c r="B42" s="78"/>
      <c r="C42" s="82"/>
      <c r="D42" s="82"/>
      <c r="E42" s="77"/>
      <c r="F42" s="77"/>
      <c r="G42" s="77"/>
      <c r="H42" s="77"/>
      <c r="I42" s="77"/>
      <c r="J42" s="77"/>
      <c r="K42" s="77"/>
    </row>
    <row r="43" spans="1:16">
      <c r="A43" s="76" t="s">
        <v>300</v>
      </c>
      <c r="B43" s="76" t="s">
        <v>424</v>
      </c>
      <c r="C43" s="80">
        <f>SUM(J8:J17)</f>
        <v>0</v>
      </c>
      <c r="D43" s="193">
        <v>100</v>
      </c>
      <c r="E43" s="77">
        <f>$C$43*$D$43*E23</f>
        <v>0</v>
      </c>
      <c r="F43" s="77">
        <f t="shared" ref="F43:K43" si="18">$C$43*$D$43*F23</f>
        <v>0</v>
      </c>
      <c r="G43" s="77">
        <f t="shared" si="18"/>
        <v>0</v>
      </c>
      <c r="H43" s="77">
        <f t="shared" si="18"/>
        <v>0</v>
      </c>
      <c r="I43" s="77">
        <f t="shared" si="18"/>
        <v>0</v>
      </c>
      <c r="J43" s="77">
        <f t="shared" si="18"/>
        <v>0</v>
      </c>
      <c r="K43" s="77">
        <f t="shared" si="18"/>
        <v>0</v>
      </c>
    </row>
    <row r="44" spans="1:16">
      <c r="A44" s="76" t="s">
        <v>301</v>
      </c>
      <c r="B44" s="76" t="s">
        <v>426</v>
      </c>
      <c r="C44" s="80">
        <f>SUM(M8:M17)</f>
        <v>0</v>
      </c>
      <c r="D44" s="193">
        <v>300</v>
      </c>
      <c r="E44" s="77">
        <f>$C$44*$D$44*E23</f>
        <v>0</v>
      </c>
      <c r="F44" s="77">
        <f t="shared" ref="F44:K44" si="19">$C$44*$D$44*F23</f>
        <v>0</v>
      </c>
      <c r="G44" s="77">
        <f t="shared" si="19"/>
        <v>0</v>
      </c>
      <c r="H44" s="77">
        <f t="shared" si="19"/>
        <v>0</v>
      </c>
      <c r="I44" s="77">
        <f t="shared" si="19"/>
        <v>0</v>
      </c>
      <c r="J44" s="77">
        <f t="shared" si="19"/>
        <v>0</v>
      </c>
      <c r="K44" s="77">
        <f t="shared" si="19"/>
        <v>0</v>
      </c>
    </row>
    <row r="45" spans="1:16">
      <c r="A45" s="76"/>
      <c r="B45" s="76"/>
      <c r="C45" s="193"/>
      <c r="D45" s="193"/>
      <c r="E45" s="77"/>
      <c r="F45" s="77"/>
      <c r="G45" s="77"/>
      <c r="H45" s="77"/>
      <c r="I45" s="77"/>
      <c r="J45" s="77"/>
      <c r="K45" s="77"/>
    </row>
    <row r="46" spans="1:16">
      <c r="A46" s="76"/>
      <c r="B46" s="76"/>
      <c r="C46" s="193"/>
      <c r="D46" s="193"/>
      <c r="E46" s="77"/>
      <c r="F46" s="77"/>
      <c r="G46" s="77"/>
      <c r="H46" s="77"/>
      <c r="I46" s="77"/>
      <c r="J46" s="77"/>
      <c r="K46" s="77"/>
    </row>
    <row r="47" spans="1:16">
      <c r="A47" s="76"/>
      <c r="B47" s="76"/>
      <c r="C47" s="193"/>
      <c r="D47" s="193"/>
      <c r="E47" s="77"/>
      <c r="F47" s="77"/>
      <c r="G47" s="77"/>
      <c r="H47" s="77"/>
      <c r="I47" s="77"/>
      <c r="J47" s="77"/>
      <c r="K47" s="77"/>
    </row>
    <row r="48" spans="1:16">
      <c r="A48" s="76"/>
      <c r="B48" s="76"/>
      <c r="C48" s="193"/>
      <c r="D48" s="193"/>
      <c r="E48" s="77"/>
      <c r="F48" s="77"/>
      <c r="G48" s="77"/>
      <c r="H48" s="77"/>
      <c r="I48" s="77"/>
      <c r="J48" s="77"/>
      <c r="K48" s="77"/>
    </row>
    <row r="49" spans="1:12">
      <c r="A49" s="78" t="s">
        <v>310</v>
      </c>
      <c r="B49" s="78"/>
      <c r="C49" s="194"/>
      <c r="D49" s="194"/>
      <c r="E49" s="96">
        <f>SUM(E43:E48)</f>
        <v>0</v>
      </c>
      <c r="F49" s="96">
        <f t="shared" ref="F49:K49" si="20">SUM(F43:F48)</f>
        <v>0</v>
      </c>
      <c r="G49" s="96">
        <f t="shared" si="20"/>
        <v>0</v>
      </c>
      <c r="H49" s="96">
        <f t="shared" si="20"/>
        <v>0</v>
      </c>
      <c r="I49" s="96">
        <f t="shared" si="20"/>
        <v>0</v>
      </c>
      <c r="J49" s="96">
        <f t="shared" si="20"/>
        <v>0</v>
      </c>
      <c r="K49" s="96">
        <f t="shared" si="20"/>
        <v>0</v>
      </c>
    </row>
    <row r="50" spans="1:12">
      <c r="A50" s="78"/>
      <c r="B50" s="78"/>
      <c r="C50" s="194"/>
      <c r="D50" s="194"/>
      <c r="E50" s="96"/>
      <c r="F50" s="96"/>
      <c r="G50" s="96"/>
      <c r="H50" s="96"/>
      <c r="I50" s="96"/>
      <c r="J50" s="96"/>
      <c r="K50" s="96"/>
    </row>
    <row r="51" spans="1:12">
      <c r="A51" s="172" t="s">
        <v>302</v>
      </c>
      <c r="B51" s="172"/>
      <c r="C51" s="204"/>
      <c r="D51" s="204"/>
      <c r="E51" s="77"/>
      <c r="F51" s="77"/>
      <c r="G51" s="77"/>
      <c r="H51" s="77"/>
      <c r="I51" s="77"/>
      <c r="J51" s="77"/>
      <c r="K51" s="77"/>
    </row>
    <row r="52" spans="1:12">
      <c r="A52" s="90" t="s">
        <v>303</v>
      </c>
      <c r="B52" s="76" t="s">
        <v>370</v>
      </c>
      <c r="C52" s="204">
        <v>1</v>
      </c>
      <c r="D52" s="205"/>
      <c r="E52" s="77">
        <f t="shared" ref="E52:K52" si="21">$C$52*$D$52*12*E23</f>
        <v>0</v>
      </c>
      <c r="F52" s="77">
        <f t="shared" si="21"/>
        <v>0</v>
      </c>
      <c r="G52" s="77">
        <f t="shared" si="21"/>
        <v>0</v>
      </c>
      <c r="H52" s="77">
        <f t="shared" si="21"/>
        <v>0</v>
      </c>
      <c r="I52" s="77">
        <f t="shared" si="21"/>
        <v>0</v>
      </c>
      <c r="J52" s="77">
        <f t="shared" si="21"/>
        <v>0</v>
      </c>
      <c r="K52" s="77">
        <f t="shared" si="21"/>
        <v>0</v>
      </c>
    </row>
    <row r="53" spans="1:12">
      <c r="A53" s="90"/>
      <c r="B53" s="90"/>
      <c r="C53" s="204"/>
      <c r="D53" s="205"/>
      <c r="E53" s="77"/>
      <c r="F53" s="77"/>
      <c r="G53" s="77"/>
      <c r="H53" s="77"/>
      <c r="I53" s="77"/>
      <c r="J53" s="77"/>
      <c r="K53" s="77"/>
    </row>
    <row r="54" spans="1:12">
      <c r="A54" s="90"/>
      <c r="B54" s="90"/>
      <c r="C54" s="204"/>
      <c r="D54" s="205"/>
      <c r="E54" s="77"/>
      <c r="F54" s="77"/>
      <c r="G54" s="77"/>
      <c r="H54" s="77"/>
      <c r="I54" s="77"/>
      <c r="J54" s="77"/>
      <c r="K54" s="77"/>
    </row>
    <row r="55" spans="1:12">
      <c r="A55" s="90"/>
      <c r="B55" s="90"/>
      <c r="C55" s="204"/>
      <c r="D55" s="205"/>
      <c r="E55" s="77"/>
      <c r="F55" s="77"/>
      <c r="G55" s="77"/>
      <c r="H55" s="77"/>
      <c r="I55" s="77"/>
      <c r="J55" s="77"/>
      <c r="K55" s="77"/>
    </row>
    <row r="56" spans="1:12">
      <c r="A56" s="78" t="s">
        <v>313</v>
      </c>
      <c r="B56" s="78"/>
      <c r="C56" s="78"/>
      <c r="D56" s="78"/>
      <c r="E56" s="96">
        <f>SUM(E52:E55)</f>
        <v>0</v>
      </c>
      <c r="F56" s="96">
        <f t="shared" ref="F56:K56" si="22">SUM(F52:F55)</f>
        <v>0</v>
      </c>
      <c r="G56" s="96">
        <f t="shared" si="22"/>
        <v>0</v>
      </c>
      <c r="H56" s="96">
        <f t="shared" si="22"/>
        <v>0</v>
      </c>
      <c r="I56" s="96">
        <f t="shared" si="22"/>
        <v>0</v>
      </c>
      <c r="J56" s="96">
        <f t="shared" si="22"/>
        <v>0</v>
      </c>
      <c r="K56" s="96">
        <f t="shared" si="22"/>
        <v>0</v>
      </c>
    </row>
    <row r="57" spans="1:12">
      <c r="A57" s="78" t="s">
        <v>130</v>
      </c>
      <c r="B57" s="78"/>
      <c r="C57" s="78"/>
      <c r="D57" s="78"/>
      <c r="E57" s="96">
        <f>E49+E56</f>
        <v>0</v>
      </c>
      <c r="F57" s="96">
        <f t="shared" ref="F57:K57" si="23">F49+F56</f>
        <v>0</v>
      </c>
      <c r="G57" s="96">
        <f t="shared" si="23"/>
        <v>0</v>
      </c>
      <c r="H57" s="96">
        <f t="shared" si="23"/>
        <v>0</v>
      </c>
      <c r="I57" s="96">
        <f t="shared" si="23"/>
        <v>0</v>
      </c>
      <c r="J57" s="96">
        <f t="shared" si="23"/>
        <v>0</v>
      </c>
      <c r="K57" s="96">
        <f t="shared" si="23"/>
        <v>0</v>
      </c>
    </row>
    <row r="58" spans="1:12">
      <c r="A58" s="76"/>
      <c r="B58" s="76"/>
      <c r="C58" s="76"/>
      <c r="D58" s="76"/>
      <c r="E58" s="77"/>
      <c r="F58" s="77"/>
      <c r="G58" s="77"/>
      <c r="H58" s="77"/>
      <c r="I58" s="77"/>
      <c r="J58" s="77"/>
      <c r="K58" s="77"/>
    </row>
    <row r="59" spans="1:12">
      <c r="A59" s="78" t="s">
        <v>305</v>
      </c>
      <c r="B59" s="78"/>
      <c r="C59" s="78"/>
      <c r="D59" s="78"/>
      <c r="E59" s="96">
        <f t="shared" ref="E59:K59" si="24">E39-E57</f>
        <v>0</v>
      </c>
      <c r="F59" s="96">
        <f t="shared" si="24"/>
        <v>0</v>
      </c>
      <c r="G59" s="96">
        <f t="shared" si="24"/>
        <v>0</v>
      </c>
      <c r="H59" s="96">
        <f t="shared" si="24"/>
        <v>0</v>
      </c>
      <c r="I59" s="96">
        <f t="shared" si="24"/>
        <v>0</v>
      </c>
      <c r="J59" s="96">
        <f t="shared" si="24"/>
        <v>0</v>
      </c>
      <c r="K59" s="96">
        <f t="shared" si="24"/>
        <v>0</v>
      </c>
    </row>
    <row r="60" spans="1:12">
      <c r="A60" s="215"/>
      <c r="B60" s="215"/>
      <c r="C60" s="215"/>
      <c r="D60" s="215"/>
      <c r="E60" s="216"/>
      <c r="F60" s="216"/>
      <c r="G60" s="216"/>
      <c r="H60" s="216"/>
      <c r="I60" s="216"/>
      <c r="J60" s="216"/>
      <c r="K60" s="216"/>
    </row>
    <row r="61" spans="1:12">
      <c r="A61" s="75"/>
      <c r="B61" s="75"/>
      <c r="C61" s="215"/>
      <c r="D61" s="215"/>
      <c r="E61" s="216"/>
      <c r="F61" s="216"/>
      <c r="G61" s="216"/>
      <c r="H61" s="216"/>
      <c r="I61" s="216"/>
      <c r="J61" s="216"/>
      <c r="K61" s="216"/>
    </row>
    <row r="62" spans="1:12">
      <c r="A62" s="630" t="s">
        <v>399</v>
      </c>
      <c r="B62" s="630"/>
      <c r="C62" s="630"/>
      <c r="D62" s="630"/>
      <c r="E62" s="630"/>
      <c r="F62" s="630"/>
      <c r="G62" s="630"/>
      <c r="H62" s="630"/>
      <c r="I62" s="630"/>
      <c r="J62" s="630"/>
      <c r="K62" s="630"/>
      <c r="L62" s="630"/>
    </row>
    <row r="65" spans="1:2">
      <c r="A65" t="s">
        <v>514</v>
      </c>
    </row>
    <row r="66" spans="1:2">
      <c r="A66">
        <v>1</v>
      </c>
      <c r="B66" t="s">
        <v>527</v>
      </c>
    </row>
    <row r="67" spans="1:2">
      <c r="A67">
        <v>2</v>
      </c>
      <c r="B67" t="s">
        <v>528</v>
      </c>
    </row>
    <row r="68" spans="1:2">
      <c r="A68">
        <v>3</v>
      </c>
      <c r="B68" s="75" t="s">
        <v>577</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W285"/>
  <sheetViews>
    <sheetView view="pageBreakPreview" topLeftCell="A266" zoomScale="80" zoomScaleSheetLayoutView="80" workbookViewId="0">
      <selection activeCell="B294" sqref="B294"/>
    </sheetView>
  </sheetViews>
  <sheetFormatPr defaultRowHeight="15"/>
  <cols>
    <col min="1" max="1" width="44.140625" bestFit="1" customWidth="1"/>
    <col min="2" max="2" width="11.7109375" customWidth="1"/>
    <col min="3" max="3" width="9.140625" bestFit="1" customWidth="1"/>
    <col min="4" max="4" width="6.5703125" bestFit="1" customWidth="1"/>
    <col min="5" max="10" width="9.42578125" bestFit="1" customWidth="1"/>
    <col min="12" max="12" width="27.140625" bestFit="1" customWidth="1"/>
    <col min="18" max="20" width="9.42578125" bestFit="1" customWidth="1"/>
    <col min="22" max="22" width="9.42578125" bestFit="1" customWidth="1"/>
  </cols>
  <sheetData>
    <row r="2" spans="1:9" ht="18.75">
      <c r="A2" s="562" t="s">
        <v>570</v>
      </c>
      <c r="B2" s="562"/>
      <c r="C2" s="562"/>
      <c r="D2" s="562"/>
      <c r="E2" s="562"/>
      <c r="F2" s="562"/>
      <c r="G2" s="562"/>
      <c r="H2" s="562"/>
      <c r="I2" s="562"/>
    </row>
    <row r="4" spans="1:9">
      <c r="A4" s="75"/>
      <c r="B4" s="75"/>
      <c r="C4" s="75"/>
      <c r="D4" s="75"/>
      <c r="E4" s="75"/>
      <c r="F4" s="75"/>
      <c r="G4" s="75"/>
      <c r="H4" s="75"/>
      <c r="I4" s="75"/>
    </row>
    <row r="5" spans="1:9">
      <c r="A5" s="75"/>
      <c r="B5" s="75"/>
      <c r="C5" s="75"/>
      <c r="D5" s="75"/>
      <c r="E5" s="75"/>
      <c r="F5" s="75"/>
      <c r="G5" s="75"/>
      <c r="H5" s="75"/>
      <c r="I5" s="75"/>
    </row>
    <row r="6" spans="1:9">
      <c r="A6" s="129" t="s">
        <v>128</v>
      </c>
      <c r="B6" s="129"/>
      <c r="C6" s="101" t="s">
        <v>2</v>
      </c>
      <c r="D6" s="101" t="s">
        <v>3</v>
      </c>
      <c r="E6" s="101" t="s">
        <v>4</v>
      </c>
      <c r="F6" s="101" t="s">
        <v>5</v>
      </c>
      <c r="G6" s="101" t="s">
        <v>6</v>
      </c>
      <c r="H6" s="101" t="s">
        <v>166</v>
      </c>
      <c r="I6" s="101" t="s">
        <v>165</v>
      </c>
    </row>
    <row r="7" spans="1:9">
      <c r="A7" s="82" t="s">
        <v>530</v>
      </c>
      <c r="B7" s="80"/>
      <c r="C7" s="80"/>
      <c r="D7" s="80"/>
      <c r="E7" s="80"/>
      <c r="F7" s="80"/>
      <c r="G7" s="80"/>
      <c r="H7" s="80"/>
      <c r="I7" s="80"/>
    </row>
    <row r="8" spans="1:9">
      <c r="A8" s="82" t="s">
        <v>174</v>
      </c>
      <c r="B8" s="174"/>
      <c r="C8" s="203"/>
      <c r="D8" s="203"/>
      <c r="E8" s="203"/>
      <c r="F8" s="203"/>
      <c r="G8" s="203"/>
      <c r="H8" s="203"/>
      <c r="I8" s="203"/>
    </row>
    <row r="9" spans="1:9">
      <c r="A9" s="80" t="str">
        <f>'10.Grain Production details'!A92</f>
        <v>Maize (Kharif)</v>
      </c>
      <c r="B9" s="174"/>
      <c r="C9" s="203">
        <f>'10.Grain Production details'!B92</f>
        <v>0</v>
      </c>
      <c r="D9" s="203">
        <f>'10.Grain Production details'!C92</f>
        <v>0</v>
      </c>
      <c r="E9" s="203">
        <f>'10.Grain Production details'!D92</f>
        <v>0</v>
      </c>
      <c r="F9" s="203">
        <f>'10.Grain Production details'!E92</f>
        <v>0</v>
      </c>
      <c r="G9" s="203">
        <f>'10.Grain Production details'!F92</f>
        <v>0</v>
      </c>
      <c r="H9" s="203">
        <f>'10.Grain Production details'!G92</f>
        <v>0</v>
      </c>
      <c r="I9" s="203">
        <f>'10.Grain Production details'!H92</f>
        <v>0</v>
      </c>
    </row>
    <row r="10" spans="1:9">
      <c r="A10" s="80" t="str">
        <f>'10.Grain Production details'!A93</f>
        <v>Red Gram/Tur</v>
      </c>
      <c r="B10" s="174"/>
      <c r="C10" s="203">
        <f>'10.Grain Production details'!B93</f>
        <v>0</v>
      </c>
      <c r="D10" s="203">
        <f>'10.Grain Production details'!C93</f>
        <v>0</v>
      </c>
      <c r="E10" s="203">
        <f>'10.Grain Production details'!D93</f>
        <v>0</v>
      </c>
      <c r="F10" s="203">
        <f>'10.Grain Production details'!E93</f>
        <v>0</v>
      </c>
      <c r="G10" s="203">
        <f>'10.Grain Production details'!F93</f>
        <v>0</v>
      </c>
      <c r="H10" s="203">
        <f>'10.Grain Production details'!G93</f>
        <v>0</v>
      </c>
      <c r="I10" s="203">
        <f>'10.Grain Production details'!H93</f>
        <v>0</v>
      </c>
    </row>
    <row r="11" spans="1:9">
      <c r="A11" s="80" t="str">
        <f>'10.Grain Production details'!A94</f>
        <v>Paddy/Rice</v>
      </c>
      <c r="B11" s="174"/>
      <c r="C11" s="203">
        <f>'10.Grain Production details'!B94</f>
        <v>0</v>
      </c>
      <c r="D11" s="203">
        <f>'10.Grain Production details'!C94</f>
        <v>0</v>
      </c>
      <c r="E11" s="203">
        <f>'10.Grain Production details'!D94</f>
        <v>0</v>
      </c>
      <c r="F11" s="203">
        <f>'10.Grain Production details'!E94</f>
        <v>0</v>
      </c>
      <c r="G11" s="203">
        <f>'10.Grain Production details'!F94</f>
        <v>0</v>
      </c>
      <c r="H11" s="203">
        <f>'10.Grain Production details'!G94</f>
        <v>0</v>
      </c>
      <c r="I11" s="203">
        <f>'10.Grain Production details'!H94</f>
        <v>0</v>
      </c>
    </row>
    <row r="12" spans="1:9">
      <c r="A12" s="80" t="str">
        <f>'10.Grain Production details'!A95</f>
        <v>Green Gram/ Moong</v>
      </c>
      <c r="B12" s="174"/>
      <c r="C12" s="203">
        <f>'10.Grain Production details'!B95</f>
        <v>0</v>
      </c>
      <c r="D12" s="203">
        <f>'10.Grain Production details'!C95</f>
        <v>0</v>
      </c>
      <c r="E12" s="203">
        <f>'10.Grain Production details'!D95</f>
        <v>0</v>
      </c>
      <c r="F12" s="203">
        <f>'10.Grain Production details'!E95</f>
        <v>0</v>
      </c>
      <c r="G12" s="203">
        <f>'10.Grain Production details'!F95</f>
        <v>0</v>
      </c>
      <c r="H12" s="203">
        <f>'10.Grain Production details'!G95</f>
        <v>0</v>
      </c>
      <c r="I12" s="203">
        <f>'10.Grain Production details'!H95</f>
        <v>0</v>
      </c>
    </row>
    <row r="13" spans="1:9">
      <c r="A13" s="80" t="str">
        <f>'10.Grain Production details'!A96</f>
        <v>Soyabean</v>
      </c>
      <c r="B13" s="174"/>
      <c r="C13" s="203">
        <f>'10.Grain Production details'!B96</f>
        <v>0</v>
      </c>
      <c r="D13" s="203">
        <f>'10.Grain Production details'!C96</f>
        <v>0</v>
      </c>
      <c r="E13" s="203">
        <f>'10.Grain Production details'!D96</f>
        <v>0</v>
      </c>
      <c r="F13" s="203">
        <f>'10.Grain Production details'!E96</f>
        <v>0</v>
      </c>
      <c r="G13" s="203">
        <f>'10.Grain Production details'!F96</f>
        <v>0</v>
      </c>
      <c r="H13" s="203">
        <f>'10.Grain Production details'!G96</f>
        <v>0</v>
      </c>
      <c r="I13" s="203">
        <f>'10.Grain Production details'!H96</f>
        <v>0</v>
      </c>
    </row>
    <row r="14" spans="1:9">
      <c r="A14" s="80" t="str">
        <f>'10.Grain Production details'!A97</f>
        <v>Black Gram/Udid</v>
      </c>
      <c r="B14" s="174"/>
      <c r="C14" s="203">
        <f>'10.Grain Production details'!B97</f>
        <v>0</v>
      </c>
      <c r="D14" s="203">
        <f>'10.Grain Production details'!C97</f>
        <v>0</v>
      </c>
      <c r="E14" s="203">
        <f>'10.Grain Production details'!D97</f>
        <v>0</v>
      </c>
      <c r="F14" s="203">
        <f>'10.Grain Production details'!E97</f>
        <v>0</v>
      </c>
      <c r="G14" s="203">
        <f>'10.Grain Production details'!F97</f>
        <v>0</v>
      </c>
      <c r="H14" s="203">
        <f>'10.Grain Production details'!G97</f>
        <v>0</v>
      </c>
      <c r="I14" s="203">
        <f>'10.Grain Production details'!H97</f>
        <v>0</v>
      </c>
    </row>
    <row r="15" spans="1:9">
      <c r="A15" s="80" t="str">
        <f>'10.Grain Production details'!A98</f>
        <v>Bajra (Kharif)</v>
      </c>
      <c r="B15" s="174"/>
      <c r="C15" s="203">
        <f>'10.Grain Production details'!B98</f>
        <v>0</v>
      </c>
      <c r="D15" s="203">
        <f>'10.Grain Production details'!C98</f>
        <v>0</v>
      </c>
      <c r="E15" s="203">
        <f>'10.Grain Production details'!D98</f>
        <v>0</v>
      </c>
      <c r="F15" s="203">
        <f>'10.Grain Production details'!E98</f>
        <v>0</v>
      </c>
      <c r="G15" s="203">
        <f>'10.Grain Production details'!F98</f>
        <v>0</v>
      </c>
      <c r="H15" s="203">
        <f>'10.Grain Production details'!G98</f>
        <v>0</v>
      </c>
      <c r="I15" s="203">
        <f>'10.Grain Production details'!H98</f>
        <v>0</v>
      </c>
    </row>
    <row r="16" spans="1:9">
      <c r="A16" s="80" t="str">
        <f>'10.Grain Production details'!A99</f>
        <v>Jawar</v>
      </c>
      <c r="B16" s="174"/>
      <c r="C16" s="203">
        <f>'10.Grain Production details'!B99</f>
        <v>0</v>
      </c>
      <c r="D16" s="203">
        <f>'10.Grain Production details'!C99</f>
        <v>0</v>
      </c>
      <c r="E16" s="203">
        <f>'10.Grain Production details'!D99</f>
        <v>0</v>
      </c>
      <c r="F16" s="203">
        <f>'10.Grain Production details'!E99</f>
        <v>0</v>
      </c>
      <c r="G16" s="203">
        <f>'10.Grain Production details'!F99</f>
        <v>0</v>
      </c>
      <c r="H16" s="203">
        <f>'10.Grain Production details'!G99</f>
        <v>0</v>
      </c>
      <c r="I16" s="203">
        <f>'10.Grain Production details'!H99</f>
        <v>0</v>
      </c>
    </row>
    <row r="17" spans="1:9">
      <c r="A17" s="82" t="s">
        <v>178</v>
      </c>
      <c r="B17" s="174"/>
      <c r="C17" s="203"/>
      <c r="D17" s="203"/>
      <c r="E17" s="203"/>
      <c r="F17" s="203"/>
      <c r="G17" s="203"/>
      <c r="H17" s="203"/>
      <c r="I17" s="203"/>
    </row>
    <row r="18" spans="1:9">
      <c r="A18" s="80" t="str">
        <f>'10.Grain Production details'!A101</f>
        <v>Maize (Rabbi)</v>
      </c>
      <c r="B18" s="174"/>
      <c r="C18" s="203">
        <f>'10.Grain Production details'!B101</f>
        <v>0</v>
      </c>
      <c r="D18" s="203">
        <f>'10.Grain Production details'!C101</f>
        <v>0</v>
      </c>
      <c r="E18" s="203">
        <f>'10.Grain Production details'!D101</f>
        <v>0</v>
      </c>
      <c r="F18" s="203">
        <f>'10.Grain Production details'!E101</f>
        <v>0</v>
      </c>
      <c r="G18" s="203">
        <f>'10.Grain Production details'!F101</f>
        <v>0</v>
      </c>
      <c r="H18" s="203">
        <f>'10.Grain Production details'!G101</f>
        <v>0</v>
      </c>
      <c r="I18" s="203">
        <f>'10.Grain Production details'!H101</f>
        <v>0</v>
      </c>
    </row>
    <row r="19" spans="1:9">
      <c r="A19" s="80" t="str">
        <f>'10.Grain Production details'!A102</f>
        <v>Gram (Rabbi)</v>
      </c>
      <c r="B19" s="174"/>
      <c r="C19" s="203">
        <f>'10.Grain Production details'!B102</f>
        <v>0</v>
      </c>
      <c r="D19" s="203">
        <f>'10.Grain Production details'!C102</f>
        <v>0</v>
      </c>
      <c r="E19" s="203">
        <f>'10.Grain Production details'!D102</f>
        <v>0</v>
      </c>
      <c r="F19" s="203">
        <f>'10.Grain Production details'!E102</f>
        <v>0</v>
      </c>
      <c r="G19" s="203">
        <f>'10.Grain Production details'!F102</f>
        <v>0</v>
      </c>
      <c r="H19" s="203">
        <f>'10.Grain Production details'!G102</f>
        <v>0</v>
      </c>
      <c r="I19" s="203">
        <f>'10.Grain Production details'!H102</f>
        <v>0</v>
      </c>
    </row>
    <row r="20" spans="1:9">
      <c r="A20" s="80" t="str">
        <f>'10.Grain Production details'!A103</f>
        <v>Wheat (Rabbi)</v>
      </c>
      <c r="B20" s="174"/>
      <c r="C20" s="203">
        <f>'10.Grain Production details'!B103</f>
        <v>0</v>
      </c>
      <c r="D20" s="203">
        <f>'10.Grain Production details'!C103</f>
        <v>0</v>
      </c>
      <c r="E20" s="203">
        <f>'10.Grain Production details'!D103</f>
        <v>0</v>
      </c>
      <c r="F20" s="203">
        <f>'10.Grain Production details'!E103</f>
        <v>0</v>
      </c>
      <c r="G20" s="203">
        <f>'10.Grain Production details'!F103</f>
        <v>0</v>
      </c>
      <c r="H20" s="203">
        <f>'10.Grain Production details'!G103</f>
        <v>0</v>
      </c>
      <c r="I20" s="203">
        <f>'10.Grain Production details'!H103</f>
        <v>0</v>
      </c>
    </row>
    <row r="21" spans="1:9">
      <c r="A21" s="80">
        <f>'10.Grain Production details'!A104</f>
        <v>0</v>
      </c>
      <c r="B21" s="174"/>
      <c r="C21" s="203">
        <f>'10.Grain Production details'!B104</f>
        <v>0</v>
      </c>
      <c r="D21" s="203">
        <f>'10.Grain Production details'!C104</f>
        <v>0</v>
      </c>
      <c r="E21" s="203">
        <f>'10.Grain Production details'!D104</f>
        <v>0</v>
      </c>
      <c r="F21" s="203">
        <f>'10.Grain Production details'!E104</f>
        <v>0</v>
      </c>
      <c r="G21" s="203">
        <f>'10.Grain Production details'!F104</f>
        <v>0</v>
      </c>
      <c r="H21" s="203">
        <f>'10.Grain Production details'!G104</f>
        <v>0</v>
      </c>
      <c r="I21" s="203">
        <f>'10.Grain Production details'!H104</f>
        <v>0</v>
      </c>
    </row>
    <row r="22" spans="1:9">
      <c r="A22" s="80">
        <f>'10.Grain Production details'!A105</f>
        <v>0</v>
      </c>
      <c r="B22" s="174"/>
      <c r="C22" s="203">
        <f>'10.Grain Production details'!B105</f>
        <v>0</v>
      </c>
      <c r="D22" s="203">
        <f>'10.Grain Production details'!C105</f>
        <v>0</v>
      </c>
      <c r="E22" s="203">
        <f>'10.Grain Production details'!D105</f>
        <v>0</v>
      </c>
      <c r="F22" s="203">
        <f>'10.Grain Production details'!E105</f>
        <v>0</v>
      </c>
      <c r="G22" s="203">
        <f>'10.Grain Production details'!F105</f>
        <v>0</v>
      </c>
      <c r="H22" s="203">
        <f>'10.Grain Production details'!G105</f>
        <v>0</v>
      </c>
      <c r="I22" s="203">
        <f>'10.Grain Production details'!H105</f>
        <v>0</v>
      </c>
    </row>
    <row r="23" spans="1:9">
      <c r="A23" s="80">
        <f>'10.Grain Production details'!A106</f>
        <v>0</v>
      </c>
      <c r="B23" s="174"/>
      <c r="C23" s="203">
        <f>'10.Grain Production details'!B106</f>
        <v>0</v>
      </c>
      <c r="D23" s="203">
        <f>'10.Grain Production details'!C106</f>
        <v>0</v>
      </c>
      <c r="E23" s="203">
        <f>'10.Grain Production details'!D106</f>
        <v>0</v>
      </c>
      <c r="F23" s="203">
        <f>'10.Grain Production details'!E106</f>
        <v>0</v>
      </c>
      <c r="G23" s="203">
        <f>'10.Grain Production details'!F106</f>
        <v>0</v>
      </c>
      <c r="H23" s="203">
        <f>'10.Grain Production details'!G106</f>
        <v>0</v>
      </c>
      <c r="I23" s="203">
        <f>'10.Grain Production details'!H106</f>
        <v>0</v>
      </c>
    </row>
    <row r="24" spans="1:9">
      <c r="A24" s="80">
        <f>'10.Grain Production details'!A107</f>
        <v>0</v>
      </c>
      <c r="B24" s="174"/>
      <c r="C24" s="203">
        <f>'10.Grain Production details'!B107</f>
        <v>0</v>
      </c>
      <c r="D24" s="203">
        <f>'10.Grain Production details'!C107</f>
        <v>0</v>
      </c>
      <c r="E24" s="203">
        <f>'10.Grain Production details'!D107</f>
        <v>0</v>
      </c>
      <c r="F24" s="203">
        <f>'10.Grain Production details'!E107</f>
        <v>0</v>
      </c>
      <c r="G24" s="203">
        <f>'10.Grain Production details'!F107</f>
        <v>0</v>
      </c>
      <c r="H24" s="203">
        <f>'10.Grain Production details'!G107</f>
        <v>0</v>
      </c>
      <c r="I24" s="203">
        <f>'10.Grain Production details'!H107</f>
        <v>0</v>
      </c>
    </row>
    <row r="25" spans="1:9">
      <c r="A25" s="80">
        <f>'10.Grain Production details'!A108</f>
        <v>0</v>
      </c>
      <c r="B25" s="174"/>
      <c r="C25" s="203">
        <f>'10.Grain Production details'!B108</f>
        <v>0</v>
      </c>
      <c r="D25" s="203">
        <f>'10.Grain Production details'!C108</f>
        <v>0</v>
      </c>
      <c r="E25" s="203">
        <f>'10.Grain Production details'!D108</f>
        <v>0</v>
      </c>
      <c r="F25" s="203">
        <f>'10.Grain Production details'!E108</f>
        <v>0</v>
      </c>
      <c r="G25" s="203">
        <f>'10.Grain Production details'!F108</f>
        <v>0</v>
      </c>
      <c r="H25" s="203">
        <f>'10.Grain Production details'!G108</f>
        <v>0</v>
      </c>
      <c r="I25" s="203">
        <f>'10.Grain Production details'!H108</f>
        <v>0</v>
      </c>
    </row>
    <row r="26" spans="1:9">
      <c r="A26" s="82" t="str">
        <f>'10.Grain Production details'!A33</f>
        <v>Summer</v>
      </c>
      <c r="B26" s="174"/>
      <c r="C26" s="203"/>
      <c r="D26" s="203"/>
      <c r="E26" s="203"/>
      <c r="F26" s="203"/>
      <c r="G26" s="203"/>
      <c r="H26" s="203"/>
      <c r="I26" s="203"/>
    </row>
    <row r="27" spans="1:9">
      <c r="A27" s="80" t="str">
        <f>'10.Grain Production details'!A109</f>
        <v>Maize (Summer)</v>
      </c>
      <c r="B27" s="174"/>
      <c r="C27" s="203">
        <f>'10.Grain Production details'!B110</f>
        <v>0</v>
      </c>
      <c r="D27" s="203">
        <f>'10.Grain Production details'!C110</f>
        <v>0</v>
      </c>
      <c r="E27" s="203">
        <f>'10.Grain Production details'!D110</f>
        <v>0</v>
      </c>
      <c r="F27" s="203">
        <f>'10.Grain Production details'!E110</f>
        <v>0</v>
      </c>
      <c r="G27" s="203">
        <f>'10.Grain Production details'!F110</f>
        <v>0</v>
      </c>
      <c r="H27" s="203">
        <f>'10.Grain Production details'!G110</f>
        <v>0</v>
      </c>
      <c r="I27" s="203">
        <f>'10.Grain Production details'!H110</f>
        <v>0</v>
      </c>
    </row>
    <row r="28" spans="1:9">
      <c r="A28" s="80" t="str">
        <f>'10.Grain Production details'!A110</f>
        <v>Jawar (Summer)</v>
      </c>
      <c r="B28" s="174"/>
      <c r="C28" s="203">
        <f>'10.Grain Production details'!B111</f>
        <v>0</v>
      </c>
      <c r="D28" s="203">
        <f>'10.Grain Production details'!C111</f>
        <v>0</v>
      </c>
      <c r="E28" s="203">
        <f>'10.Grain Production details'!D111</f>
        <v>0</v>
      </c>
      <c r="F28" s="203">
        <f>'10.Grain Production details'!E111</f>
        <v>0</v>
      </c>
      <c r="G28" s="203">
        <f>'10.Grain Production details'!F111</f>
        <v>0</v>
      </c>
      <c r="H28" s="203">
        <f>'10.Grain Production details'!G111</f>
        <v>0</v>
      </c>
      <c r="I28" s="203">
        <f>'10.Grain Production details'!H111</f>
        <v>0</v>
      </c>
    </row>
    <row r="29" spans="1:9">
      <c r="A29" s="80">
        <f>'10.Grain Production details'!A111</f>
        <v>0</v>
      </c>
      <c r="B29" s="174"/>
      <c r="C29" s="203">
        <f>'10.Grain Production details'!B112</f>
        <v>0</v>
      </c>
      <c r="D29" s="203">
        <f>'10.Grain Production details'!C112</f>
        <v>0</v>
      </c>
      <c r="E29" s="203">
        <f>'10.Grain Production details'!D112</f>
        <v>0</v>
      </c>
      <c r="F29" s="203">
        <f>'10.Grain Production details'!E112</f>
        <v>0</v>
      </c>
      <c r="G29" s="203">
        <f>'10.Grain Production details'!F112</f>
        <v>0</v>
      </c>
      <c r="H29" s="203">
        <f>'10.Grain Production details'!G112</f>
        <v>0</v>
      </c>
      <c r="I29" s="203">
        <f>'10.Grain Production details'!H112</f>
        <v>0</v>
      </c>
    </row>
    <row r="30" spans="1:9">
      <c r="A30" s="80">
        <f>'10.Grain Production details'!A112</f>
        <v>0</v>
      </c>
      <c r="B30" s="174"/>
      <c r="C30" s="203">
        <f>'10.Grain Production details'!B113</f>
        <v>0</v>
      </c>
      <c r="D30" s="203">
        <f>'10.Grain Production details'!C113</f>
        <v>0</v>
      </c>
      <c r="E30" s="203">
        <f>'10.Grain Production details'!D113</f>
        <v>0</v>
      </c>
      <c r="F30" s="203">
        <f>'10.Grain Production details'!E113</f>
        <v>0</v>
      </c>
      <c r="G30" s="203">
        <f>'10.Grain Production details'!F113</f>
        <v>0</v>
      </c>
      <c r="H30" s="203">
        <f>'10.Grain Production details'!G113</f>
        <v>0</v>
      </c>
      <c r="I30" s="203">
        <f>'10.Grain Production details'!H113</f>
        <v>0</v>
      </c>
    </row>
    <row r="31" spans="1:9">
      <c r="A31" s="80">
        <f>'10.Grain Production details'!A113</f>
        <v>0</v>
      </c>
      <c r="B31" s="174"/>
      <c r="C31" s="203">
        <f>'10.Grain Production details'!C114</f>
        <v>0</v>
      </c>
      <c r="D31" s="203">
        <f>'10.Grain Production details'!D114</f>
        <v>0</v>
      </c>
      <c r="E31" s="203">
        <f>'10.Grain Production details'!E114</f>
        <v>0</v>
      </c>
      <c r="F31" s="203">
        <f>'10.Grain Production details'!F114</f>
        <v>0</v>
      </c>
      <c r="G31" s="203">
        <f>'10.Grain Production details'!G114</f>
        <v>0</v>
      </c>
      <c r="H31" s="203">
        <f>'10.Grain Production details'!H114</f>
        <v>0</v>
      </c>
      <c r="I31" s="203">
        <f>'10.Grain Production details'!I114</f>
        <v>0</v>
      </c>
    </row>
    <row r="32" spans="1:9">
      <c r="A32" s="82" t="str">
        <f>'11.F&amp;V Crop Production details'!A1:H1</f>
        <v>Fruit  &amp; Vegetables Crop Production Details</v>
      </c>
      <c r="B32" s="174"/>
      <c r="C32" s="203"/>
      <c r="D32" s="203"/>
      <c r="E32" s="203"/>
      <c r="F32" s="203"/>
      <c r="G32" s="203"/>
      <c r="H32" s="203"/>
      <c r="I32" s="203"/>
    </row>
    <row r="33" spans="1:9">
      <c r="A33" s="80" t="str">
        <f>'11.F&amp;V Crop Production details'!A102</f>
        <v>Onion</v>
      </c>
      <c r="B33" s="174"/>
      <c r="C33" s="203">
        <f>'11.F&amp;V Crop Production details'!B102</f>
        <v>0</v>
      </c>
      <c r="D33" s="203">
        <f>'11.F&amp;V Crop Production details'!C102</f>
        <v>0</v>
      </c>
      <c r="E33" s="203">
        <f>'11.F&amp;V Crop Production details'!D102</f>
        <v>0</v>
      </c>
      <c r="F33" s="203">
        <f>'11.F&amp;V Crop Production details'!E102</f>
        <v>0</v>
      </c>
      <c r="G33" s="203">
        <f>'11.F&amp;V Crop Production details'!F102</f>
        <v>0</v>
      </c>
      <c r="H33" s="203">
        <f>'11.F&amp;V Crop Production details'!G102</f>
        <v>0</v>
      </c>
      <c r="I33" s="203">
        <f>'11.F&amp;V Crop Production details'!H102</f>
        <v>0</v>
      </c>
    </row>
    <row r="34" spans="1:9">
      <c r="A34" s="80" t="str">
        <f>'11.F&amp;V Crop Production details'!A103</f>
        <v>Tomato</v>
      </c>
      <c r="B34" s="174"/>
      <c r="C34" s="203">
        <f>'11.F&amp;V Crop Production details'!B103</f>
        <v>0</v>
      </c>
      <c r="D34" s="203">
        <f>'11.F&amp;V Crop Production details'!C103</f>
        <v>0</v>
      </c>
      <c r="E34" s="203">
        <f>'11.F&amp;V Crop Production details'!D103</f>
        <v>0</v>
      </c>
      <c r="F34" s="203">
        <f>'11.F&amp;V Crop Production details'!E103</f>
        <v>0</v>
      </c>
      <c r="G34" s="203">
        <f>'11.F&amp;V Crop Production details'!F103</f>
        <v>0</v>
      </c>
      <c r="H34" s="203">
        <f>'11.F&amp;V Crop Production details'!G103</f>
        <v>0</v>
      </c>
      <c r="I34" s="203">
        <f>'11.F&amp;V Crop Production details'!H103</f>
        <v>0</v>
      </c>
    </row>
    <row r="35" spans="1:9">
      <c r="A35" s="80" t="str">
        <f>'11.F&amp;V Crop Production details'!A104</f>
        <v>Okra</v>
      </c>
      <c r="B35" s="174"/>
      <c r="C35" s="203">
        <f>'11.F&amp;V Crop Production details'!B104</f>
        <v>0</v>
      </c>
      <c r="D35" s="203">
        <f>'11.F&amp;V Crop Production details'!C104</f>
        <v>0</v>
      </c>
      <c r="E35" s="203">
        <f>'11.F&amp;V Crop Production details'!D104</f>
        <v>0</v>
      </c>
      <c r="F35" s="203">
        <f>'11.F&amp;V Crop Production details'!E104</f>
        <v>0</v>
      </c>
      <c r="G35" s="203">
        <f>'11.F&amp;V Crop Production details'!F104</f>
        <v>0</v>
      </c>
      <c r="H35" s="203">
        <f>'11.F&amp;V Crop Production details'!G104</f>
        <v>0</v>
      </c>
      <c r="I35" s="203">
        <f>'11.F&amp;V Crop Production details'!H104</f>
        <v>0</v>
      </c>
    </row>
    <row r="36" spans="1:9">
      <c r="A36" s="80" t="str">
        <f>'11.F&amp;V Crop Production details'!A105</f>
        <v>Chilli</v>
      </c>
      <c r="B36" s="174"/>
      <c r="C36" s="203">
        <f>'11.F&amp;V Crop Production details'!B105</f>
        <v>0</v>
      </c>
      <c r="D36" s="203">
        <f>'11.F&amp;V Crop Production details'!C105</f>
        <v>0</v>
      </c>
      <c r="E36" s="203">
        <f>'11.F&amp;V Crop Production details'!D105</f>
        <v>0</v>
      </c>
      <c r="F36" s="203">
        <f>'11.F&amp;V Crop Production details'!E105</f>
        <v>0</v>
      </c>
      <c r="G36" s="203">
        <f>'11.F&amp;V Crop Production details'!F105</f>
        <v>0</v>
      </c>
      <c r="H36" s="203">
        <f>'11.F&amp;V Crop Production details'!G105</f>
        <v>0</v>
      </c>
      <c r="I36" s="203">
        <f>'11.F&amp;V Crop Production details'!H105</f>
        <v>0</v>
      </c>
    </row>
    <row r="37" spans="1:9">
      <c r="A37" s="80" t="str">
        <f>'11.F&amp;V Crop Production details'!A106</f>
        <v>Potato</v>
      </c>
      <c r="B37" s="174"/>
      <c r="C37" s="203">
        <f>'11.F&amp;V Crop Production details'!B106</f>
        <v>0</v>
      </c>
      <c r="D37" s="203">
        <f>'11.F&amp;V Crop Production details'!C106</f>
        <v>0</v>
      </c>
      <c r="E37" s="203">
        <f>'11.F&amp;V Crop Production details'!D106</f>
        <v>0</v>
      </c>
      <c r="F37" s="203">
        <f>'11.F&amp;V Crop Production details'!E106</f>
        <v>0</v>
      </c>
      <c r="G37" s="203">
        <f>'11.F&amp;V Crop Production details'!F106</f>
        <v>0</v>
      </c>
      <c r="H37" s="203">
        <f>'11.F&amp;V Crop Production details'!G106</f>
        <v>0</v>
      </c>
      <c r="I37" s="203">
        <f>'11.F&amp;V Crop Production details'!H106</f>
        <v>0</v>
      </c>
    </row>
    <row r="38" spans="1:9">
      <c r="A38" s="80">
        <f>'11.F&amp;V Crop Production details'!A107</f>
        <v>0</v>
      </c>
      <c r="B38" s="174"/>
      <c r="C38" s="203">
        <f>'11.F&amp;V Crop Production details'!B107</f>
        <v>0</v>
      </c>
      <c r="D38" s="203">
        <f>'11.F&amp;V Crop Production details'!C107</f>
        <v>0</v>
      </c>
      <c r="E38" s="203">
        <f>'11.F&amp;V Crop Production details'!D107</f>
        <v>0</v>
      </c>
      <c r="F38" s="203">
        <f>'11.F&amp;V Crop Production details'!E107</f>
        <v>0</v>
      </c>
      <c r="G38" s="203">
        <f>'11.F&amp;V Crop Production details'!F107</f>
        <v>0</v>
      </c>
      <c r="H38" s="203">
        <f>'11.F&amp;V Crop Production details'!G107</f>
        <v>0</v>
      </c>
      <c r="I38" s="203">
        <f>'11.F&amp;V Crop Production details'!H107</f>
        <v>0</v>
      </c>
    </row>
    <row r="39" spans="1:9">
      <c r="A39" s="80">
        <f>'11.F&amp;V Crop Production details'!A108</f>
        <v>0</v>
      </c>
      <c r="B39" s="174"/>
      <c r="C39" s="203">
        <f>'11.F&amp;V Crop Production details'!B108</f>
        <v>0</v>
      </c>
      <c r="D39" s="203">
        <f>'11.F&amp;V Crop Production details'!C108</f>
        <v>0</v>
      </c>
      <c r="E39" s="203">
        <f>'11.F&amp;V Crop Production details'!D108</f>
        <v>0</v>
      </c>
      <c r="F39" s="203">
        <f>'11.F&amp;V Crop Production details'!E108</f>
        <v>0</v>
      </c>
      <c r="G39" s="203">
        <f>'11.F&amp;V Crop Production details'!F108</f>
        <v>0</v>
      </c>
      <c r="H39" s="203">
        <f>'11.F&amp;V Crop Production details'!G108</f>
        <v>0</v>
      </c>
      <c r="I39" s="203">
        <f>'11.F&amp;V Crop Production details'!H108</f>
        <v>0</v>
      </c>
    </row>
    <row r="40" spans="1:9">
      <c r="A40" s="80">
        <f>'11.F&amp;V Crop Production details'!A109</f>
        <v>0</v>
      </c>
      <c r="B40" s="174"/>
      <c r="C40" s="203">
        <f>'11.F&amp;V Crop Production details'!B109</f>
        <v>0</v>
      </c>
      <c r="D40" s="203">
        <f>'11.F&amp;V Crop Production details'!C109</f>
        <v>0</v>
      </c>
      <c r="E40" s="203">
        <f>'11.F&amp;V Crop Production details'!D109</f>
        <v>0</v>
      </c>
      <c r="F40" s="203">
        <f>'11.F&amp;V Crop Production details'!E109</f>
        <v>0</v>
      </c>
      <c r="G40" s="203">
        <f>'11.F&amp;V Crop Production details'!F109</f>
        <v>0</v>
      </c>
      <c r="H40" s="203">
        <f>'11.F&amp;V Crop Production details'!G109</f>
        <v>0</v>
      </c>
      <c r="I40" s="203">
        <f>'11.F&amp;V Crop Production details'!H109</f>
        <v>0</v>
      </c>
    </row>
    <row r="41" spans="1:9">
      <c r="A41" s="80">
        <f>'11.F&amp;V Crop Production details'!A110</f>
        <v>0</v>
      </c>
      <c r="B41" s="174"/>
      <c r="C41" s="203">
        <f>'11.F&amp;V Crop Production details'!B110</f>
        <v>0</v>
      </c>
      <c r="D41" s="203">
        <f>'11.F&amp;V Crop Production details'!C110</f>
        <v>0</v>
      </c>
      <c r="E41" s="203">
        <f>'11.F&amp;V Crop Production details'!D110</f>
        <v>0</v>
      </c>
      <c r="F41" s="203">
        <f>'11.F&amp;V Crop Production details'!E110</f>
        <v>0</v>
      </c>
      <c r="G41" s="203">
        <f>'11.F&amp;V Crop Production details'!F110</f>
        <v>0</v>
      </c>
      <c r="H41" s="203">
        <f>'11.F&amp;V Crop Production details'!G110</f>
        <v>0</v>
      </c>
      <c r="I41" s="203">
        <f>'11.F&amp;V Crop Production details'!H110</f>
        <v>0</v>
      </c>
    </row>
    <row r="42" spans="1:9">
      <c r="A42" s="80" t="str">
        <f>'11.F&amp;V Crop Production details'!A111</f>
        <v>Onion</v>
      </c>
      <c r="B42" s="174"/>
      <c r="C42" s="203">
        <f>'11.F&amp;V Crop Production details'!B111</f>
        <v>0</v>
      </c>
      <c r="D42" s="203">
        <f>'11.F&amp;V Crop Production details'!C111</f>
        <v>0</v>
      </c>
      <c r="E42" s="203">
        <f>'11.F&amp;V Crop Production details'!D111</f>
        <v>0</v>
      </c>
      <c r="F42" s="203">
        <f>'11.F&amp;V Crop Production details'!E111</f>
        <v>0</v>
      </c>
      <c r="G42" s="203">
        <f>'11.F&amp;V Crop Production details'!F111</f>
        <v>0</v>
      </c>
      <c r="H42" s="203">
        <f>'11.F&amp;V Crop Production details'!G111</f>
        <v>0</v>
      </c>
      <c r="I42" s="203">
        <f>'11.F&amp;V Crop Production details'!H111</f>
        <v>0</v>
      </c>
    </row>
    <row r="43" spans="1:9">
      <c r="A43" s="80" t="str">
        <f>'11.F&amp;V Crop Production details'!A112</f>
        <v>Tomato</v>
      </c>
      <c r="B43" s="174"/>
      <c r="C43" s="203">
        <f>'11.F&amp;V Crop Production details'!B112</f>
        <v>0</v>
      </c>
      <c r="D43" s="203">
        <f>'11.F&amp;V Crop Production details'!C112</f>
        <v>0</v>
      </c>
      <c r="E43" s="203">
        <f>'11.F&amp;V Crop Production details'!D112</f>
        <v>0</v>
      </c>
      <c r="F43" s="203">
        <f>'11.F&amp;V Crop Production details'!E112</f>
        <v>0</v>
      </c>
      <c r="G43" s="203">
        <f>'11.F&amp;V Crop Production details'!F112</f>
        <v>0</v>
      </c>
      <c r="H43" s="203">
        <f>'11.F&amp;V Crop Production details'!G112</f>
        <v>0</v>
      </c>
      <c r="I43" s="203">
        <f>'11.F&amp;V Crop Production details'!H112</f>
        <v>0</v>
      </c>
    </row>
    <row r="44" spans="1:9">
      <c r="A44" s="80" t="str">
        <f>'11.F&amp;V Crop Production details'!A113</f>
        <v>Okra</v>
      </c>
      <c r="B44" s="174"/>
      <c r="C44" s="203">
        <f>'11.F&amp;V Crop Production details'!B113</f>
        <v>0</v>
      </c>
      <c r="D44" s="203">
        <f>'11.F&amp;V Crop Production details'!C113</f>
        <v>0</v>
      </c>
      <c r="E44" s="203">
        <f>'11.F&amp;V Crop Production details'!D113</f>
        <v>0</v>
      </c>
      <c r="F44" s="203">
        <f>'11.F&amp;V Crop Production details'!E113</f>
        <v>0</v>
      </c>
      <c r="G44" s="203">
        <f>'11.F&amp;V Crop Production details'!F113</f>
        <v>0</v>
      </c>
      <c r="H44" s="203">
        <f>'11.F&amp;V Crop Production details'!G113</f>
        <v>0</v>
      </c>
      <c r="I44" s="203">
        <f>'11.F&amp;V Crop Production details'!H113</f>
        <v>0</v>
      </c>
    </row>
    <row r="45" spans="1:9">
      <c r="A45" s="80" t="str">
        <f>'11.F&amp;V Crop Production details'!A114</f>
        <v>Chilli</v>
      </c>
      <c r="B45" s="174"/>
      <c r="C45" s="203">
        <f>'11.F&amp;V Crop Production details'!B114</f>
        <v>0</v>
      </c>
      <c r="D45" s="203">
        <f>'11.F&amp;V Crop Production details'!C114</f>
        <v>0</v>
      </c>
      <c r="E45" s="203">
        <f>'11.F&amp;V Crop Production details'!D114</f>
        <v>0</v>
      </c>
      <c r="F45" s="203">
        <f>'11.F&amp;V Crop Production details'!E114</f>
        <v>0</v>
      </c>
      <c r="G45" s="203">
        <f>'11.F&amp;V Crop Production details'!F114</f>
        <v>0</v>
      </c>
      <c r="H45" s="203">
        <f>'11.F&amp;V Crop Production details'!G114</f>
        <v>0</v>
      </c>
      <c r="I45" s="203">
        <f>'11.F&amp;V Crop Production details'!H114</f>
        <v>0</v>
      </c>
    </row>
    <row r="46" spans="1:9">
      <c r="A46" s="80" t="str">
        <f>'11.F&amp;V Crop Production details'!A115</f>
        <v>Brinjal</v>
      </c>
      <c r="B46" s="174"/>
      <c r="C46" s="203">
        <f>'11.F&amp;V Crop Production details'!B115</f>
        <v>0</v>
      </c>
      <c r="D46" s="203">
        <f>'11.F&amp;V Crop Production details'!C115</f>
        <v>0</v>
      </c>
      <c r="E46" s="203">
        <f>'11.F&amp;V Crop Production details'!D115</f>
        <v>0</v>
      </c>
      <c r="F46" s="203">
        <f>'11.F&amp;V Crop Production details'!E115</f>
        <v>0</v>
      </c>
      <c r="G46" s="203">
        <f>'11.F&amp;V Crop Production details'!F115</f>
        <v>0</v>
      </c>
      <c r="H46" s="203">
        <f>'11.F&amp;V Crop Production details'!G115</f>
        <v>0</v>
      </c>
      <c r="I46" s="203">
        <f>'11.F&amp;V Crop Production details'!H115</f>
        <v>0</v>
      </c>
    </row>
    <row r="47" spans="1:9">
      <c r="A47" s="80">
        <f>'11.F&amp;V Crop Production details'!A116</f>
        <v>0</v>
      </c>
      <c r="B47" s="174"/>
      <c r="C47" s="203">
        <f>'11.F&amp;V Crop Production details'!B116</f>
        <v>0</v>
      </c>
      <c r="D47" s="203">
        <f>'11.F&amp;V Crop Production details'!C116</f>
        <v>0</v>
      </c>
      <c r="E47" s="203">
        <f>'11.F&amp;V Crop Production details'!D116</f>
        <v>0</v>
      </c>
      <c r="F47" s="203">
        <f>'11.F&amp;V Crop Production details'!E116</f>
        <v>0</v>
      </c>
      <c r="G47" s="203">
        <f>'11.F&amp;V Crop Production details'!F116</f>
        <v>0</v>
      </c>
      <c r="H47" s="203">
        <f>'11.F&amp;V Crop Production details'!G116</f>
        <v>0</v>
      </c>
      <c r="I47" s="203">
        <f>'11.F&amp;V Crop Production details'!H116</f>
        <v>0</v>
      </c>
    </row>
    <row r="48" spans="1:9">
      <c r="A48" s="80">
        <f>'11.F&amp;V Crop Production details'!A117</f>
        <v>0</v>
      </c>
      <c r="B48" s="174"/>
      <c r="C48" s="203">
        <f>'11.F&amp;V Crop Production details'!B117</f>
        <v>0</v>
      </c>
      <c r="D48" s="203">
        <f>'11.F&amp;V Crop Production details'!C117</f>
        <v>0</v>
      </c>
      <c r="E48" s="203">
        <f>'11.F&amp;V Crop Production details'!D117</f>
        <v>0</v>
      </c>
      <c r="F48" s="203">
        <f>'11.F&amp;V Crop Production details'!E117</f>
        <v>0</v>
      </c>
      <c r="G48" s="203">
        <f>'11.F&amp;V Crop Production details'!F117</f>
        <v>0</v>
      </c>
      <c r="H48" s="203">
        <f>'11.F&amp;V Crop Production details'!G117</f>
        <v>0</v>
      </c>
      <c r="I48" s="203">
        <f>'11.F&amp;V Crop Production details'!H117</f>
        <v>0</v>
      </c>
    </row>
    <row r="49" spans="1:9">
      <c r="A49" s="80">
        <f>'11.F&amp;V Crop Production details'!A118</f>
        <v>0</v>
      </c>
      <c r="B49" s="174"/>
      <c r="C49" s="203">
        <f>'11.F&amp;V Crop Production details'!B118</f>
        <v>0</v>
      </c>
      <c r="D49" s="203">
        <f>'11.F&amp;V Crop Production details'!C118</f>
        <v>0</v>
      </c>
      <c r="E49" s="203">
        <f>'11.F&amp;V Crop Production details'!D118</f>
        <v>0</v>
      </c>
      <c r="F49" s="203">
        <f>'11.F&amp;V Crop Production details'!E118</f>
        <v>0</v>
      </c>
      <c r="G49" s="203">
        <f>'11.F&amp;V Crop Production details'!F118</f>
        <v>0</v>
      </c>
      <c r="H49" s="203">
        <f>'11.F&amp;V Crop Production details'!G118</f>
        <v>0</v>
      </c>
      <c r="I49" s="203">
        <f>'11.F&amp;V Crop Production details'!H118</f>
        <v>0</v>
      </c>
    </row>
    <row r="50" spans="1:9">
      <c r="A50" s="80">
        <f>'11.F&amp;V Crop Production details'!A119</f>
        <v>0</v>
      </c>
      <c r="B50" s="174"/>
      <c r="C50" s="203">
        <f>'11.F&amp;V Crop Production details'!B119</f>
        <v>0</v>
      </c>
      <c r="D50" s="203">
        <f>'11.F&amp;V Crop Production details'!C119</f>
        <v>0</v>
      </c>
      <c r="E50" s="203">
        <f>'11.F&amp;V Crop Production details'!D119</f>
        <v>0</v>
      </c>
      <c r="F50" s="203">
        <f>'11.F&amp;V Crop Production details'!E119</f>
        <v>0</v>
      </c>
      <c r="G50" s="203">
        <f>'11.F&amp;V Crop Production details'!F119</f>
        <v>0</v>
      </c>
      <c r="H50" s="203">
        <f>'11.F&amp;V Crop Production details'!G119</f>
        <v>0</v>
      </c>
      <c r="I50" s="203">
        <f>'11.F&amp;V Crop Production details'!H119</f>
        <v>0</v>
      </c>
    </row>
    <row r="51" spans="1:9">
      <c r="A51" s="80">
        <f>'11.F&amp;V Crop Production details'!A120</f>
        <v>0</v>
      </c>
      <c r="B51" s="174"/>
      <c r="C51" s="203">
        <f>'11.F&amp;V Crop Production details'!B120</f>
        <v>0</v>
      </c>
      <c r="D51" s="203">
        <f>'11.F&amp;V Crop Production details'!C120</f>
        <v>0</v>
      </c>
      <c r="E51" s="203">
        <f>'11.F&amp;V Crop Production details'!D120</f>
        <v>0</v>
      </c>
      <c r="F51" s="203">
        <f>'11.F&amp;V Crop Production details'!E120</f>
        <v>0</v>
      </c>
      <c r="G51" s="203">
        <f>'11.F&amp;V Crop Production details'!F120</f>
        <v>0</v>
      </c>
      <c r="H51" s="203">
        <f>'11.F&amp;V Crop Production details'!G120</f>
        <v>0</v>
      </c>
      <c r="I51" s="203">
        <f>'11.F&amp;V Crop Production details'!H120</f>
        <v>0</v>
      </c>
    </row>
    <row r="52" spans="1:9">
      <c r="A52" s="80">
        <f>'11.F&amp;V Crop Production details'!A121</f>
        <v>0</v>
      </c>
      <c r="B52" s="174"/>
      <c r="C52" s="203">
        <f>'11.F&amp;V Crop Production details'!B121</f>
        <v>0</v>
      </c>
      <c r="D52" s="203">
        <f>'11.F&amp;V Crop Production details'!C121</f>
        <v>0</v>
      </c>
      <c r="E52" s="203">
        <f>'11.F&amp;V Crop Production details'!D121</f>
        <v>0</v>
      </c>
      <c r="F52" s="203">
        <f>'11.F&amp;V Crop Production details'!E121</f>
        <v>0</v>
      </c>
      <c r="G52" s="203">
        <f>'11.F&amp;V Crop Production details'!F121</f>
        <v>0</v>
      </c>
      <c r="H52" s="203">
        <f>'11.F&amp;V Crop Production details'!G121</f>
        <v>0</v>
      </c>
      <c r="I52" s="203">
        <f>'11.F&amp;V Crop Production details'!H121</f>
        <v>0</v>
      </c>
    </row>
    <row r="53" spans="1:9">
      <c r="A53" s="80">
        <f>'11.F&amp;V Crop Production details'!A122</f>
        <v>0</v>
      </c>
      <c r="B53" s="174"/>
      <c r="C53" s="203">
        <f>'11.F&amp;V Crop Production details'!B122</f>
        <v>0</v>
      </c>
      <c r="D53" s="203">
        <f>'11.F&amp;V Crop Production details'!C122</f>
        <v>0</v>
      </c>
      <c r="E53" s="203">
        <f>'11.F&amp;V Crop Production details'!D122</f>
        <v>0</v>
      </c>
      <c r="F53" s="203">
        <f>'11.F&amp;V Crop Production details'!E122</f>
        <v>0</v>
      </c>
      <c r="G53" s="203">
        <f>'11.F&amp;V Crop Production details'!F122</f>
        <v>0</v>
      </c>
      <c r="H53" s="203">
        <f>'11.F&amp;V Crop Production details'!G122</f>
        <v>0</v>
      </c>
      <c r="I53" s="203">
        <f>'11.F&amp;V Crop Production details'!H122</f>
        <v>0</v>
      </c>
    </row>
    <row r="54" spans="1:9">
      <c r="A54" s="80" t="str">
        <f>'11.F&amp;V Crop Production details'!A123</f>
        <v>Pomegranate</v>
      </c>
      <c r="B54" s="174"/>
      <c r="C54" s="203">
        <f>'11.F&amp;V Crop Production details'!B123</f>
        <v>0</v>
      </c>
      <c r="D54" s="203">
        <f>'11.F&amp;V Crop Production details'!C123</f>
        <v>0</v>
      </c>
      <c r="E54" s="203">
        <f>'11.F&amp;V Crop Production details'!D123</f>
        <v>0</v>
      </c>
      <c r="F54" s="203">
        <f>'11.F&amp;V Crop Production details'!E123</f>
        <v>0</v>
      </c>
      <c r="G54" s="203">
        <f>'11.F&amp;V Crop Production details'!F123</f>
        <v>0</v>
      </c>
      <c r="H54" s="203">
        <f>'11.F&amp;V Crop Production details'!G123</f>
        <v>0</v>
      </c>
      <c r="I54" s="203">
        <f>'11.F&amp;V Crop Production details'!H123</f>
        <v>0</v>
      </c>
    </row>
    <row r="55" spans="1:9">
      <c r="A55" s="80" t="str">
        <f>'11.F&amp;V Crop Production details'!A124</f>
        <v>Custard Apple</v>
      </c>
      <c r="B55" s="174"/>
      <c r="C55" s="203">
        <f>'11.F&amp;V Crop Production details'!B124</f>
        <v>0</v>
      </c>
      <c r="D55" s="203">
        <f>'11.F&amp;V Crop Production details'!C124</f>
        <v>0</v>
      </c>
      <c r="E55" s="203">
        <f>'11.F&amp;V Crop Production details'!D124</f>
        <v>0</v>
      </c>
      <c r="F55" s="203">
        <f>'11.F&amp;V Crop Production details'!E124</f>
        <v>0</v>
      </c>
      <c r="G55" s="203">
        <f>'11.F&amp;V Crop Production details'!F124</f>
        <v>0</v>
      </c>
      <c r="H55" s="203">
        <f>'11.F&amp;V Crop Production details'!G124</f>
        <v>0</v>
      </c>
      <c r="I55" s="203">
        <f>'11.F&amp;V Crop Production details'!H124</f>
        <v>0</v>
      </c>
    </row>
    <row r="56" spans="1:9">
      <c r="A56" s="80" t="str">
        <f>'11.F&amp;V Crop Production details'!A125</f>
        <v>Guava</v>
      </c>
      <c r="B56" s="174"/>
      <c r="C56" s="203">
        <f>'11.F&amp;V Crop Production details'!B125</f>
        <v>0</v>
      </c>
      <c r="D56" s="203">
        <f>'11.F&amp;V Crop Production details'!C125</f>
        <v>0</v>
      </c>
      <c r="E56" s="203">
        <f>'11.F&amp;V Crop Production details'!D125</f>
        <v>0</v>
      </c>
      <c r="F56" s="203">
        <f>'11.F&amp;V Crop Production details'!E125</f>
        <v>0</v>
      </c>
      <c r="G56" s="203">
        <f>'11.F&amp;V Crop Production details'!F125</f>
        <v>0</v>
      </c>
      <c r="H56" s="203">
        <f>'11.F&amp;V Crop Production details'!G125</f>
        <v>0</v>
      </c>
      <c r="I56" s="203">
        <f>'11.F&amp;V Crop Production details'!H125</f>
        <v>0</v>
      </c>
    </row>
    <row r="57" spans="1:9">
      <c r="A57" s="80" t="str">
        <f>'11.F&amp;V Crop Production details'!A126</f>
        <v>Citrus</v>
      </c>
      <c r="B57" s="174"/>
      <c r="C57" s="203">
        <f>'11.F&amp;V Crop Production details'!B126</f>
        <v>0</v>
      </c>
      <c r="D57" s="203">
        <f>'11.F&amp;V Crop Production details'!C126</f>
        <v>0</v>
      </c>
      <c r="E57" s="203">
        <f>'11.F&amp;V Crop Production details'!D126</f>
        <v>0</v>
      </c>
      <c r="F57" s="203">
        <f>'11.F&amp;V Crop Production details'!E126</f>
        <v>0</v>
      </c>
      <c r="G57" s="203">
        <f>'11.F&amp;V Crop Production details'!F126</f>
        <v>0</v>
      </c>
      <c r="H57" s="203">
        <f>'11.F&amp;V Crop Production details'!G126</f>
        <v>0</v>
      </c>
      <c r="I57" s="203">
        <f>'11.F&amp;V Crop Production details'!H126</f>
        <v>0</v>
      </c>
    </row>
    <row r="58" spans="1:9">
      <c r="A58" s="80"/>
      <c r="B58" s="174"/>
      <c r="C58" s="174"/>
      <c r="D58" s="174"/>
      <c r="E58" s="174"/>
      <c r="F58" s="174"/>
      <c r="G58" s="174"/>
      <c r="H58" s="174"/>
      <c r="I58" s="174"/>
    </row>
    <row r="59" spans="1:9">
      <c r="A59" s="82" t="s">
        <v>179</v>
      </c>
      <c r="B59" s="80"/>
      <c r="C59" s="80"/>
      <c r="D59" s="80"/>
      <c r="E59" s="80"/>
      <c r="F59" s="80"/>
      <c r="G59" s="80"/>
      <c r="H59" s="80"/>
      <c r="I59" s="80"/>
    </row>
    <row r="60" spans="1:9">
      <c r="A60" s="82" t="s">
        <v>674</v>
      </c>
      <c r="B60" s="423" t="s">
        <v>697</v>
      </c>
      <c r="C60" s="80"/>
      <c r="D60" s="80"/>
      <c r="E60" s="80"/>
      <c r="F60" s="80"/>
      <c r="G60" s="80"/>
      <c r="H60" s="80"/>
      <c r="I60" s="80"/>
    </row>
    <row r="61" spans="1:9">
      <c r="A61" s="82" t="str">
        <f t="shared" ref="A61:A92" si="0">A8</f>
        <v>Kharif Crops</v>
      </c>
      <c r="B61" s="80"/>
      <c r="C61" s="80"/>
      <c r="D61" s="80"/>
      <c r="E61" s="80"/>
      <c r="F61" s="80"/>
      <c r="G61" s="80"/>
      <c r="H61" s="80"/>
      <c r="I61" s="80"/>
    </row>
    <row r="62" spans="1:9">
      <c r="A62" s="80" t="str">
        <f t="shared" si="0"/>
        <v>Maize (Kharif)</v>
      </c>
      <c r="B62" s="193"/>
      <c r="C62" s="175">
        <f>$B62*C9</f>
        <v>0</v>
      </c>
      <c r="D62" s="175">
        <f>$B62*D9</f>
        <v>0</v>
      </c>
      <c r="E62" s="175">
        <f t="shared" ref="E62:I62" si="1">$B62*E9</f>
        <v>0</v>
      </c>
      <c r="F62" s="175">
        <f t="shared" si="1"/>
        <v>0</v>
      </c>
      <c r="G62" s="175">
        <f t="shared" si="1"/>
        <v>0</v>
      </c>
      <c r="H62" s="175">
        <f t="shared" si="1"/>
        <v>0</v>
      </c>
      <c r="I62" s="175">
        <f t="shared" si="1"/>
        <v>0</v>
      </c>
    </row>
    <row r="63" spans="1:9">
      <c r="A63" s="80" t="str">
        <f t="shared" si="0"/>
        <v>Red Gram/Tur</v>
      </c>
      <c r="B63" s="193">
        <v>5</v>
      </c>
      <c r="C63" s="175">
        <f>$B63*C10</f>
        <v>0</v>
      </c>
      <c r="D63" s="175">
        <f t="shared" ref="D63:I63" si="2">$B$63*D10</f>
        <v>0</v>
      </c>
      <c r="E63" s="175">
        <f t="shared" si="2"/>
        <v>0</v>
      </c>
      <c r="F63" s="175">
        <f t="shared" si="2"/>
        <v>0</v>
      </c>
      <c r="G63" s="175">
        <f t="shared" si="2"/>
        <v>0</v>
      </c>
      <c r="H63" s="175">
        <f t="shared" si="2"/>
        <v>0</v>
      </c>
      <c r="I63" s="175">
        <f t="shared" si="2"/>
        <v>0</v>
      </c>
    </row>
    <row r="64" spans="1:9">
      <c r="A64" s="80" t="str">
        <f t="shared" si="0"/>
        <v>Paddy/Rice</v>
      </c>
      <c r="B64" s="193">
        <v>15</v>
      </c>
      <c r="C64" s="175">
        <f>$B64*C11</f>
        <v>0</v>
      </c>
      <c r="D64" s="175">
        <f t="shared" ref="D64:I64" si="3">$B$64*D11</f>
        <v>0</v>
      </c>
      <c r="E64" s="175">
        <f t="shared" si="3"/>
        <v>0</v>
      </c>
      <c r="F64" s="175">
        <f t="shared" si="3"/>
        <v>0</v>
      </c>
      <c r="G64" s="175">
        <f t="shared" si="3"/>
        <v>0</v>
      </c>
      <c r="H64" s="175">
        <f t="shared" si="3"/>
        <v>0</v>
      </c>
      <c r="I64" s="175">
        <f t="shared" si="3"/>
        <v>0</v>
      </c>
    </row>
    <row r="65" spans="1:9">
      <c r="A65" s="80" t="str">
        <f t="shared" si="0"/>
        <v>Green Gram/ Moong</v>
      </c>
      <c r="B65" s="193">
        <v>15</v>
      </c>
      <c r="C65" s="175">
        <f>$B65*C12</f>
        <v>0</v>
      </c>
      <c r="D65" s="175">
        <f t="shared" ref="D65:I67" si="4">$B65*D12</f>
        <v>0</v>
      </c>
      <c r="E65" s="175">
        <f t="shared" si="4"/>
        <v>0</v>
      </c>
      <c r="F65" s="175">
        <f t="shared" si="4"/>
        <v>0</v>
      </c>
      <c r="G65" s="175">
        <f t="shared" si="4"/>
        <v>0</v>
      </c>
      <c r="H65" s="175">
        <f t="shared" si="4"/>
        <v>0</v>
      </c>
      <c r="I65" s="175">
        <f t="shared" si="4"/>
        <v>0</v>
      </c>
    </row>
    <row r="66" spans="1:9">
      <c r="A66" s="80" t="str">
        <f t="shared" si="0"/>
        <v>Soyabean</v>
      </c>
      <c r="B66" s="193">
        <v>25</v>
      </c>
      <c r="C66" s="175">
        <f>$B66*C13</f>
        <v>0</v>
      </c>
      <c r="D66" s="175">
        <f t="shared" si="4"/>
        <v>0</v>
      </c>
      <c r="E66" s="175">
        <f t="shared" si="4"/>
        <v>0</v>
      </c>
      <c r="F66" s="175">
        <f t="shared" si="4"/>
        <v>0</v>
      </c>
      <c r="G66" s="175">
        <f t="shared" si="4"/>
        <v>0</v>
      </c>
      <c r="H66" s="175">
        <f t="shared" si="4"/>
        <v>0</v>
      </c>
      <c r="I66" s="175">
        <f t="shared" si="4"/>
        <v>0</v>
      </c>
    </row>
    <row r="67" spans="1:9">
      <c r="A67" s="80" t="str">
        <f t="shared" si="0"/>
        <v>Black Gram/Udid</v>
      </c>
      <c r="B67" s="193">
        <v>15</v>
      </c>
      <c r="C67" s="175">
        <f>$B67*C14</f>
        <v>0</v>
      </c>
      <c r="D67" s="175">
        <f t="shared" si="4"/>
        <v>0</v>
      </c>
      <c r="E67" s="175">
        <f t="shared" si="4"/>
        <v>0</v>
      </c>
      <c r="F67" s="175">
        <f t="shared" si="4"/>
        <v>0</v>
      </c>
      <c r="G67" s="175">
        <f t="shared" si="4"/>
        <v>0</v>
      </c>
      <c r="H67" s="175">
        <f t="shared" si="4"/>
        <v>0</v>
      </c>
      <c r="I67" s="175">
        <f t="shared" si="4"/>
        <v>0</v>
      </c>
    </row>
    <row r="68" spans="1:9">
      <c r="A68" s="80" t="str">
        <f t="shared" si="0"/>
        <v>Bajra (Kharif)</v>
      </c>
      <c r="B68" s="193">
        <v>5</v>
      </c>
      <c r="C68" s="175">
        <f t="shared" ref="C68:I68" si="5">$B68*C15</f>
        <v>0</v>
      </c>
      <c r="D68" s="175">
        <f t="shared" si="5"/>
        <v>0</v>
      </c>
      <c r="E68" s="175">
        <f t="shared" si="5"/>
        <v>0</v>
      </c>
      <c r="F68" s="175">
        <f t="shared" si="5"/>
        <v>0</v>
      </c>
      <c r="G68" s="175">
        <f t="shared" si="5"/>
        <v>0</v>
      </c>
      <c r="H68" s="175">
        <f t="shared" si="5"/>
        <v>0</v>
      </c>
      <c r="I68" s="175">
        <f t="shared" si="5"/>
        <v>0</v>
      </c>
    </row>
    <row r="69" spans="1:9">
      <c r="A69" s="80" t="str">
        <f t="shared" si="0"/>
        <v>Jawar</v>
      </c>
      <c r="B69" s="193">
        <v>5</v>
      </c>
      <c r="C69" s="175">
        <f t="shared" ref="C69:I69" si="6">$B69*C16</f>
        <v>0</v>
      </c>
      <c r="D69" s="175">
        <f t="shared" si="6"/>
        <v>0</v>
      </c>
      <c r="E69" s="175">
        <f t="shared" si="6"/>
        <v>0</v>
      </c>
      <c r="F69" s="175">
        <f t="shared" si="6"/>
        <v>0</v>
      </c>
      <c r="G69" s="175">
        <f t="shared" si="6"/>
        <v>0</v>
      </c>
      <c r="H69" s="175">
        <f t="shared" si="6"/>
        <v>0</v>
      </c>
      <c r="I69" s="175">
        <f t="shared" si="6"/>
        <v>0</v>
      </c>
    </row>
    <row r="70" spans="1:9">
      <c r="A70" s="82" t="str">
        <f t="shared" si="0"/>
        <v>Rabi Crop</v>
      </c>
      <c r="B70" s="193"/>
      <c r="C70" s="175"/>
      <c r="D70" s="175"/>
      <c r="E70" s="175"/>
      <c r="F70" s="175"/>
      <c r="G70" s="175"/>
      <c r="H70" s="175"/>
      <c r="I70" s="175"/>
    </row>
    <row r="71" spans="1:9">
      <c r="A71" s="80" t="str">
        <f t="shared" si="0"/>
        <v>Maize (Rabbi)</v>
      </c>
      <c r="B71" s="193">
        <v>20</v>
      </c>
      <c r="C71" s="175">
        <f t="shared" ref="C71:I71" si="7">$B71*C18</f>
        <v>0</v>
      </c>
      <c r="D71" s="175">
        <f t="shared" si="7"/>
        <v>0</v>
      </c>
      <c r="E71" s="175">
        <f t="shared" si="7"/>
        <v>0</v>
      </c>
      <c r="F71" s="175">
        <f t="shared" si="7"/>
        <v>0</v>
      </c>
      <c r="G71" s="175">
        <f t="shared" si="7"/>
        <v>0</v>
      </c>
      <c r="H71" s="175">
        <f t="shared" si="7"/>
        <v>0</v>
      </c>
      <c r="I71" s="175">
        <f t="shared" si="7"/>
        <v>0</v>
      </c>
    </row>
    <row r="72" spans="1:9">
      <c r="A72" s="80" t="str">
        <f t="shared" si="0"/>
        <v>Gram (Rabbi)</v>
      </c>
      <c r="B72" s="193">
        <v>25</v>
      </c>
      <c r="C72" s="175">
        <f t="shared" ref="C72:I72" si="8">$B72*C19</f>
        <v>0</v>
      </c>
      <c r="D72" s="175">
        <f t="shared" si="8"/>
        <v>0</v>
      </c>
      <c r="E72" s="175">
        <f t="shared" si="8"/>
        <v>0</v>
      </c>
      <c r="F72" s="175">
        <f t="shared" si="8"/>
        <v>0</v>
      </c>
      <c r="G72" s="175">
        <f t="shared" si="8"/>
        <v>0</v>
      </c>
      <c r="H72" s="175">
        <f t="shared" si="8"/>
        <v>0</v>
      </c>
      <c r="I72" s="175">
        <f t="shared" si="8"/>
        <v>0</v>
      </c>
    </row>
    <row r="73" spans="1:9">
      <c r="A73" s="80" t="str">
        <f t="shared" si="0"/>
        <v>Wheat (Rabbi)</v>
      </c>
      <c r="B73" s="193">
        <v>5</v>
      </c>
      <c r="C73" s="175">
        <f t="shared" ref="C73:I73" si="9">$B73*C20</f>
        <v>0</v>
      </c>
      <c r="D73" s="175">
        <f t="shared" si="9"/>
        <v>0</v>
      </c>
      <c r="E73" s="175">
        <f t="shared" si="9"/>
        <v>0</v>
      </c>
      <c r="F73" s="175">
        <f t="shared" si="9"/>
        <v>0</v>
      </c>
      <c r="G73" s="175">
        <f t="shared" si="9"/>
        <v>0</v>
      </c>
      <c r="H73" s="175">
        <f t="shared" si="9"/>
        <v>0</v>
      </c>
      <c r="I73" s="175">
        <f t="shared" si="9"/>
        <v>0</v>
      </c>
    </row>
    <row r="74" spans="1:9">
      <c r="A74" s="80">
        <f t="shared" si="0"/>
        <v>0</v>
      </c>
      <c r="B74" s="193">
        <v>20</v>
      </c>
      <c r="C74" s="175">
        <f t="shared" ref="C74:I74" si="10">$B74*C21</f>
        <v>0</v>
      </c>
      <c r="D74" s="175">
        <f t="shared" si="10"/>
        <v>0</v>
      </c>
      <c r="E74" s="175">
        <f t="shared" si="10"/>
        <v>0</v>
      </c>
      <c r="F74" s="175">
        <f t="shared" si="10"/>
        <v>0</v>
      </c>
      <c r="G74" s="175">
        <f t="shared" si="10"/>
        <v>0</v>
      </c>
      <c r="H74" s="175">
        <f t="shared" si="10"/>
        <v>0</v>
      </c>
      <c r="I74" s="175">
        <f t="shared" si="10"/>
        <v>0</v>
      </c>
    </row>
    <row r="75" spans="1:9">
      <c r="A75" s="80">
        <f t="shared" si="0"/>
        <v>0</v>
      </c>
      <c r="B75" s="193"/>
      <c r="C75" s="175">
        <f t="shared" ref="C75:I75" si="11">$B75*C22</f>
        <v>0</v>
      </c>
      <c r="D75" s="175">
        <f t="shared" si="11"/>
        <v>0</v>
      </c>
      <c r="E75" s="175">
        <f t="shared" si="11"/>
        <v>0</v>
      </c>
      <c r="F75" s="175">
        <f t="shared" si="11"/>
        <v>0</v>
      </c>
      <c r="G75" s="175">
        <f t="shared" si="11"/>
        <v>0</v>
      </c>
      <c r="H75" s="175">
        <f t="shared" si="11"/>
        <v>0</v>
      </c>
      <c r="I75" s="175">
        <f t="shared" si="11"/>
        <v>0</v>
      </c>
    </row>
    <row r="76" spans="1:9">
      <c r="A76" s="80">
        <f t="shared" si="0"/>
        <v>0</v>
      </c>
      <c r="B76" s="193"/>
      <c r="C76" s="175">
        <f t="shared" ref="C76:I76" si="12">$B76*C23</f>
        <v>0</v>
      </c>
      <c r="D76" s="175">
        <f t="shared" si="12"/>
        <v>0</v>
      </c>
      <c r="E76" s="175">
        <f t="shared" si="12"/>
        <v>0</v>
      </c>
      <c r="F76" s="175">
        <f t="shared" si="12"/>
        <v>0</v>
      </c>
      <c r="G76" s="175">
        <f t="shared" si="12"/>
        <v>0</v>
      </c>
      <c r="H76" s="175">
        <f t="shared" si="12"/>
        <v>0</v>
      </c>
      <c r="I76" s="175">
        <f t="shared" si="12"/>
        <v>0</v>
      </c>
    </row>
    <row r="77" spans="1:9">
      <c r="A77" s="80">
        <f t="shared" si="0"/>
        <v>0</v>
      </c>
      <c r="B77" s="193"/>
      <c r="C77" s="175">
        <f t="shared" ref="C77:I77" si="13">$B77*C24</f>
        <v>0</v>
      </c>
      <c r="D77" s="175">
        <f t="shared" si="13"/>
        <v>0</v>
      </c>
      <c r="E77" s="175">
        <f t="shared" si="13"/>
        <v>0</v>
      </c>
      <c r="F77" s="175">
        <f t="shared" si="13"/>
        <v>0</v>
      </c>
      <c r="G77" s="175">
        <f t="shared" si="13"/>
        <v>0</v>
      </c>
      <c r="H77" s="175">
        <f t="shared" si="13"/>
        <v>0</v>
      </c>
      <c r="I77" s="175">
        <f t="shared" si="13"/>
        <v>0</v>
      </c>
    </row>
    <row r="78" spans="1:9">
      <c r="A78" s="80">
        <f t="shared" si="0"/>
        <v>0</v>
      </c>
      <c r="B78" s="193"/>
      <c r="C78" s="175">
        <f t="shared" ref="C78:I78" si="14">$B78*C25</f>
        <v>0</v>
      </c>
      <c r="D78" s="175">
        <f t="shared" si="14"/>
        <v>0</v>
      </c>
      <c r="E78" s="175">
        <f t="shared" si="14"/>
        <v>0</v>
      </c>
      <c r="F78" s="175">
        <f t="shared" si="14"/>
        <v>0</v>
      </c>
      <c r="G78" s="175">
        <f t="shared" si="14"/>
        <v>0</v>
      </c>
      <c r="H78" s="175">
        <f t="shared" si="14"/>
        <v>0</v>
      </c>
      <c r="I78" s="175">
        <f t="shared" si="14"/>
        <v>0</v>
      </c>
    </row>
    <row r="79" spans="1:9">
      <c r="A79" s="82" t="str">
        <f t="shared" si="0"/>
        <v>Summer</v>
      </c>
      <c r="B79" s="193"/>
      <c r="C79" s="175"/>
      <c r="D79" s="175"/>
      <c r="E79" s="175"/>
      <c r="F79" s="175"/>
      <c r="G79" s="175"/>
      <c r="H79" s="175"/>
      <c r="I79" s="175"/>
    </row>
    <row r="80" spans="1:9">
      <c r="A80" s="80" t="str">
        <f t="shared" si="0"/>
        <v>Maize (Summer)</v>
      </c>
      <c r="B80" s="193"/>
      <c r="C80" s="175">
        <f t="shared" ref="C80:I80" si="15">$B80*C27</f>
        <v>0</v>
      </c>
      <c r="D80" s="175">
        <f t="shared" si="15"/>
        <v>0</v>
      </c>
      <c r="E80" s="175">
        <f t="shared" si="15"/>
        <v>0</v>
      </c>
      <c r="F80" s="175">
        <f t="shared" si="15"/>
        <v>0</v>
      </c>
      <c r="G80" s="175">
        <f t="shared" si="15"/>
        <v>0</v>
      </c>
      <c r="H80" s="175">
        <f t="shared" si="15"/>
        <v>0</v>
      </c>
      <c r="I80" s="175">
        <f t="shared" si="15"/>
        <v>0</v>
      </c>
    </row>
    <row r="81" spans="1:9">
      <c r="A81" s="80" t="str">
        <f t="shared" si="0"/>
        <v>Jawar (Summer)</v>
      </c>
      <c r="B81" s="193"/>
      <c r="C81" s="175">
        <f t="shared" ref="C81:I81" si="16">$B81*C28</f>
        <v>0</v>
      </c>
      <c r="D81" s="175">
        <f t="shared" si="16"/>
        <v>0</v>
      </c>
      <c r="E81" s="175">
        <f t="shared" si="16"/>
        <v>0</v>
      </c>
      <c r="F81" s="175">
        <f t="shared" si="16"/>
        <v>0</v>
      </c>
      <c r="G81" s="175">
        <f t="shared" si="16"/>
        <v>0</v>
      </c>
      <c r="H81" s="175">
        <f t="shared" si="16"/>
        <v>0</v>
      </c>
      <c r="I81" s="175">
        <f t="shared" si="16"/>
        <v>0</v>
      </c>
    </row>
    <row r="82" spans="1:9">
      <c r="A82" s="80">
        <f t="shared" si="0"/>
        <v>0</v>
      </c>
      <c r="B82" s="193"/>
      <c r="C82" s="175">
        <f t="shared" ref="C82:I82" si="17">$B82*C29</f>
        <v>0</v>
      </c>
      <c r="D82" s="175">
        <f t="shared" si="17"/>
        <v>0</v>
      </c>
      <c r="E82" s="175">
        <f t="shared" si="17"/>
        <v>0</v>
      </c>
      <c r="F82" s="175">
        <f t="shared" si="17"/>
        <v>0</v>
      </c>
      <c r="G82" s="175">
        <f t="shared" si="17"/>
        <v>0</v>
      </c>
      <c r="H82" s="175">
        <f t="shared" si="17"/>
        <v>0</v>
      </c>
      <c r="I82" s="175">
        <f t="shared" si="17"/>
        <v>0</v>
      </c>
    </row>
    <row r="83" spans="1:9">
      <c r="A83" s="80">
        <f t="shared" si="0"/>
        <v>0</v>
      </c>
      <c r="B83" s="193"/>
      <c r="C83" s="175">
        <f t="shared" ref="C83:I83" si="18">$B83*C30</f>
        <v>0</v>
      </c>
      <c r="D83" s="175">
        <f t="shared" si="18"/>
        <v>0</v>
      </c>
      <c r="E83" s="175">
        <f t="shared" si="18"/>
        <v>0</v>
      </c>
      <c r="F83" s="175">
        <f t="shared" si="18"/>
        <v>0</v>
      </c>
      <c r="G83" s="175">
        <f t="shared" si="18"/>
        <v>0</v>
      </c>
      <c r="H83" s="175">
        <f t="shared" si="18"/>
        <v>0</v>
      </c>
      <c r="I83" s="175">
        <f t="shared" si="18"/>
        <v>0</v>
      </c>
    </row>
    <row r="84" spans="1:9">
      <c r="A84" s="80">
        <f t="shared" si="0"/>
        <v>0</v>
      </c>
      <c r="B84" s="193"/>
      <c r="C84" s="175">
        <f t="shared" ref="C84:I84" si="19">$B84*C31</f>
        <v>0</v>
      </c>
      <c r="D84" s="175">
        <f t="shared" si="19"/>
        <v>0</v>
      </c>
      <c r="E84" s="175">
        <f t="shared" si="19"/>
        <v>0</v>
      </c>
      <c r="F84" s="175">
        <f t="shared" si="19"/>
        <v>0</v>
      </c>
      <c r="G84" s="175">
        <f t="shared" si="19"/>
        <v>0</v>
      </c>
      <c r="H84" s="175">
        <f t="shared" si="19"/>
        <v>0</v>
      </c>
      <c r="I84" s="175">
        <f t="shared" si="19"/>
        <v>0</v>
      </c>
    </row>
    <row r="85" spans="1:9">
      <c r="A85" s="82" t="str">
        <f t="shared" si="0"/>
        <v>Fruit  &amp; Vegetables Crop Production Details</v>
      </c>
      <c r="B85" s="193"/>
      <c r="C85" s="175"/>
      <c r="D85" s="175"/>
      <c r="E85" s="175"/>
      <c r="F85" s="175"/>
      <c r="G85" s="175"/>
      <c r="H85" s="175"/>
      <c r="I85" s="175"/>
    </row>
    <row r="86" spans="1:9">
      <c r="A86" s="80" t="str">
        <f t="shared" si="0"/>
        <v>Onion</v>
      </c>
      <c r="B86" s="193"/>
      <c r="C86" s="175">
        <f t="shared" ref="C86:I86" si="20">$B86*C33</f>
        <v>0</v>
      </c>
      <c r="D86" s="175">
        <f t="shared" si="20"/>
        <v>0</v>
      </c>
      <c r="E86" s="175">
        <f t="shared" si="20"/>
        <v>0</v>
      </c>
      <c r="F86" s="175">
        <f t="shared" si="20"/>
        <v>0</v>
      </c>
      <c r="G86" s="175">
        <f t="shared" si="20"/>
        <v>0</v>
      </c>
      <c r="H86" s="175">
        <f t="shared" si="20"/>
        <v>0</v>
      </c>
      <c r="I86" s="175">
        <f t="shared" si="20"/>
        <v>0</v>
      </c>
    </row>
    <row r="87" spans="1:9">
      <c r="A87" s="80" t="str">
        <f t="shared" si="0"/>
        <v>Tomato</v>
      </c>
      <c r="B87" s="193"/>
      <c r="C87" s="175">
        <f t="shared" ref="C87:I87" si="21">$B87*C34</f>
        <v>0</v>
      </c>
      <c r="D87" s="175">
        <f t="shared" si="21"/>
        <v>0</v>
      </c>
      <c r="E87" s="175">
        <f t="shared" si="21"/>
        <v>0</v>
      </c>
      <c r="F87" s="175">
        <f t="shared" si="21"/>
        <v>0</v>
      </c>
      <c r="G87" s="175">
        <f t="shared" si="21"/>
        <v>0</v>
      </c>
      <c r="H87" s="175">
        <f t="shared" si="21"/>
        <v>0</v>
      </c>
      <c r="I87" s="175">
        <f t="shared" si="21"/>
        <v>0</v>
      </c>
    </row>
    <row r="88" spans="1:9">
      <c r="A88" s="80" t="str">
        <f t="shared" si="0"/>
        <v>Okra</v>
      </c>
      <c r="B88" s="193"/>
      <c r="C88" s="175">
        <f t="shared" ref="C88:I88" si="22">$B88*C35</f>
        <v>0</v>
      </c>
      <c r="D88" s="175">
        <f t="shared" si="22"/>
        <v>0</v>
      </c>
      <c r="E88" s="175">
        <f t="shared" si="22"/>
        <v>0</v>
      </c>
      <c r="F88" s="175">
        <f t="shared" si="22"/>
        <v>0</v>
      </c>
      <c r="G88" s="175">
        <f t="shared" si="22"/>
        <v>0</v>
      </c>
      <c r="H88" s="175">
        <f t="shared" si="22"/>
        <v>0</v>
      </c>
      <c r="I88" s="175">
        <f t="shared" si="22"/>
        <v>0</v>
      </c>
    </row>
    <row r="89" spans="1:9">
      <c r="A89" s="80" t="str">
        <f t="shared" si="0"/>
        <v>Chilli</v>
      </c>
      <c r="B89" s="193"/>
      <c r="C89" s="175">
        <f t="shared" ref="C89:I89" si="23">$B89*C36</f>
        <v>0</v>
      </c>
      <c r="D89" s="175">
        <f t="shared" si="23"/>
        <v>0</v>
      </c>
      <c r="E89" s="175">
        <f t="shared" si="23"/>
        <v>0</v>
      </c>
      <c r="F89" s="175">
        <f t="shared" si="23"/>
        <v>0</v>
      </c>
      <c r="G89" s="175">
        <f t="shared" si="23"/>
        <v>0</v>
      </c>
      <c r="H89" s="175">
        <f t="shared" si="23"/>
        <v>0</v>
      </c>
      <c r="I89" s="175">
        <f t="shared" si="23"/>
        <v>0</v>
      </c>
    </row>
    <row r="90" spans="1:9">
      <c r="A90" s="80" t="str">
        <f t="shared" si="0"/>
        <v>Potato</v>
      </c>
      <c r="B90" s="193"/>
      <c r="C90" s="175">
        <f t="shared" ref="C90:I90" si="24">$B90*C37</f>
        <v>0</v>
      </c>
      <c r="D90" s="175">
        <f t="shared" si="24"/>
        <v>0</v>
      </c>
      <c r="E90" s="175">
        <f t="shared" si="24"/>
        <v>0</v>
      </c>
      <c r="F90" s="175">
        <f t="shared" si="24"/>
        <v>0</v>
      </c>
      <c r="G90" s="175">
        <f t="shared" si="24"/>
        <v>0</v>
      </c>
      <c r="H90" s="175">
        <f t="shared" si="24"/>
        <v>0</v>
      </c>
      <c r="I90" s="175">
        <f t="shared" si="24"/>
        <v>0</v>
      </c>
    </row>
    <row r="91" spans="1:9">
      <c r="A91" s="80">
        <f t="shared" si="0"/>
        <v>0</v>
      </c>
      <c r="B91" s="193"/>
      <c r="C91" s="175">
        <f t="shared" ref="C91:I91" si="25">$B91*C38</f>
        <v>0</v>
      </c>
      <c r="D91" s="175">
        <f t="shared" si="25"/>
        <v>0</v>
      </c>
      <c r="E91" s="175">
        <f t="shared" si="25"/>
        <v>0</v>
      </c>
      <c r="F91" s="175">
        <f t="shared" si="25"/>
        <v>0</v>
      </c>
      <c r="G91" s="175">
        <f t="shared" si="25"/>
        <v>0</v>
      </c>
      <c r="H91" s="175">
        <f t="shared" si="25"/>
        <v>0</v>
      </c>
      <c r="I91" s="175">
        <f t="shared" si="25"/>
        <v>0</v>
      </c>
    </row>
    <row r="92" spans="1:9">
      <c r="A92" s="80">
        <f t="shared" si="0"/>
        <v>0</v>
      </c>
      <c r="B92" s="193"/>
      <c r="C92" s="175">
        <f t="shared" ref="C92:I92" si="26">$B92*C39</f>
        <v>0</v>
      </c>
      <c r="D92" s="175">
        <f t="shared" si="26"/>
        <v>0</v>
      </c>
      <c r="E92" s="175">
        <f t="shared" si="26"/>
        <v>0</v>
      </c>
      <c r="F92" s="175">
        <f t="shared" si="26"/>
        <v>0</v>
      </c>
      <c r="G92" s="175">
        <f t="shared" si="26"/>
        <v>0</v>
      </c>
      <c r="H92" s="175">
        <f t="shared" si="26"/>
        <v>0</v>
      </c>
      <c r="I92" s="175">
        <f t="shared" si="26"/>
        <v>0</v>
      </c>
    </row>
    <row r="93" spans="1:9">
      <c r="A93" s="80">
        <f t="shared" ref="A93:A110" si="27">A40</f>
        <v>0</v>
      </c>
      <c r="B93" s="193"/>
      <c r="C93" s="175">
        <f t="shared" ref="C93:I93" si="28">$B93*C40</f>
        <v>0</v>
      </c>
      <c r="D93" s="175">
        <f t="shared" si="28"/>
        <v>0</v>
      </c>
      <c r="E93" s="175">
        <f t="shared" si="28"/>
        <v>0</v>
      </c>
      <c r="F93" s="175">
        <f t="shared" si="28"/>
        <v>0</v>
      </c>
      <c r="G93" s="175">
        <f t="shared" si="28"/>
        <v>0</v>
      </c>
      <c r="H93" s="175">
        <f t="shared" si="28"/>
        <v>0</v>
      </c>
      <c r="I93" s="175">
        <f t="shared" si="28"/>
        <v>0</v>
      </c>
    </row>
    <row r="94" spans="1:9">
      <c r="A94" s="80">
        <f t="shared" si="27"/>
        <v>0</v>
      </c>
      <c r="B94" s="193"/>
      <c r="C94" s="175">
        <f t="shared" ref="C94:I94" si="29">$B94*C41</f>
        <v>0</v>
      </c>
      <c r="D94" s="175">
        <f t="shared" si="29"/>
        <v>0</v>
      </c>
      <c r="E94" s="175">
        <f t="shared" si="29"/>
        <v>0</v>
      </c>
      <c r="F94" s="175">
        <f t="shared" si="29"/>
        <v>0</v>
      </c>
      <c r="G94" s="175">
        <f t="shared" si="29"/>
        <v>0</v>
      </c>
      <c r="H94" s="175">
        <f t="shared" si="29"/>
        <v>0</v>
      </c>
      <c r="I94" s="175">
        <f t="shared" si="29"/>
        <v>0</v>
      </c>
    </row>
    <row r="95" spans="1:9">
      <c r="A95" s="80" t="str">
        <f t="shared" si="27"/>
        <v>Onion</v>
      </c>
      <c r="B95" s="193"/>
      <c r="C95" s="175">
        <f t="shared" ref="C95:I95" si="30">$B95*C42</f>
        <v>0</v>
      </c>
      <c r="D95" s="175">
        <f t="shared" si="30"/>
        <v>0</v>
      </c>
      <c r="E95" s="175">
        <f t="shared" si="30"/>
        <v>0</v>
      </c>
      <c r="F95" s="175">
        <f t="shared" si="30"/>
        <v>0</v>
      </c>
      <c r="G95" s="175">
        <f t="shared" si="30"/>
        <v>0</v>
      </c>
      <c r="H95" s="175">
        <f t="shared" si="30"/>
        <v>0</v>
      </c>
      <c r="I95" s="175">
        <f t="shared" si="30"/>
        <v>0</v>
      </c>
    </row>
    <row r="96" spans="1:9">
      <c r="A96" s="80" t="str">
        <f t="shared" si="27"/>
        <v>Tomato</v>
      </c>
      <c r="B96" s="193"/>
      <c r="C96" s="175">
        <f t="shared" ref="C96:I96" si="31">$B96*C43</f>
        <v>0</v>
      </c>
      <c r="D96" s="175">
        <f t="shared" si="31"/>
        <v>0</v>
      </c>
      <c r="E96" s="175">
        <f t="shared" si="31"/>
        <v>0</v>
      </c>
      <c r="F96" s="175">
        <f t="shared" si="31"/>
        <v>0</v>
      </c>
      <c r="G96" s="175">
        <f t="shared" si="31"/>
        <v>0</v>
      </c>
      <c r="H96" s="175">
        <f t="shared" si="31"/>
        <v>0</v>
      </c>
      <c r="I96" s="175">
        <f t="shared" si="31"/>
        <v>0</v>
      </c>
    </row>
    <row r="97" spans="1:9">
      <c r="A97" s="80" t="str">
        <f t="shared" si="27"/>
        <v>Okra</v>
      </c>
      <c r="B97" s="193"/>
      <c r="C97" s="175">
        <f t="shared" ref="C97:I97" si="32">$B97*C44</f>
        <v>0</v>
      </c>
      <c r="D97" s="175">
        <f t="shared" si="32"/>
        <v>0</v>
      </c>
      <c r="E97" s="175">
        <f t="shared" si="32"/>
        <v>0</v>
      </c>
      <c r="F97" s="175">
        <f t="shared" si="32"/>
        <v>0</v>
      </c>
      <c r="G97" s="175">
        <f t="shared" si="32"/>
        <v>0</v>
      </c>
      <c r="H97" s="175">
        <f t="shared" si="32"/>
        <v>0</v>
      </c>
      <c r="I97" s="175">
        <f t="shared" si="32"/>
        <v>0</v>
      </c>
    </row>
    <row r="98" spans="1:9">
      <c r="A98" s="80" t="str">
        <f t="shared" si="27"/>
        <v>Chilli</v>
      </c>
      <c r="B98" s="193"/>
      <c r="C98" s="175">
        <f t="shared" ref="C98:I98" si="33">$B98*C45</f>
        <v>0</v>
      </c>
      <c r="D98" s="175">
        <f t="shared" si="33"/>
        <v>0</v>
      </c>
      <c r="E98" s="175">
        <f t="shared" si="33"/>
        <v>0</v>
      </c>
      <c r="F98" s="175">
        <f t="shared" si="33"/>
        <v>0</v>
      </c>
      <c r="G98" s="175">
        <f t="shared" si="33"/>
        <v>0</v>
      </c>
      <c r="H98" s="175">
        <f t="shared" si="33"/>
        <v>0</v>
      </c>
      <c r="I98" s="175">
        <f t="shared" si="33"/>
        <v>0</v>
      </c>
    </row>
    <row r="99" spans="1:9">
      <c r="A99" s="80" t="str">
        <f t="shared" si="27"/>
        <v>Brinjal</v>
      </c>
      <c r="B99" s="193"/>
      <c r="C99" s="175">
        <f t="shared" ref="C99:I99" si="34">$B99*C46</f>
        <v>0</v>
      </c>
      <c r="D99" s="175">
        <f t="shared" si="34"/>
        <v>0</v>
      </c>
      <c r="E99" s="175">
        <f t="shared" si="34"/>
        <v>0</v>
      </c>
      <c r="F99" s="175">
        <f t="shared" si="34"/>
        <v>0</v>
      </c>
      <c r="G99" s="175">
        <f t="shared" si="34"/>
        <v>0</v>
      </c>
      <c r="H99" s="175">
        <f t="shared" si="34"/>
        <v>0</v>
      </c>
      <c r="I99" s="175">
        <f t="shared" si="34"/>
        <v>0</v>
      </c>
    </row>
    <row r="100" spans="1:9">
      <c r="A100" s="80">
        <f t="shared" si="27"/>
        <v>0</v>
      </c>
      <c r="B100" s="193"/>
      <c r="C100" s="175">
        <f t="shared" ref="C100:I100" si="35">$B100*C47</f>
        <v>0</v>
      </c>
      <c r="D100" s="175">
        <f t="shared" si="35"/>
        <v>0</v>
      </c>
      <c r="E100" s="175">
        <f t="shared" si="35"/>
        <v>0</v>
      </c>
      <c r="F100" s="175">
        <f t="shared" si="35"/>
        <v>0</v>
      </c>
      <c r="G100" s="175">
        <f t="shared" si="35"/>
        <v>0</v>
      </c>
      <c r="H100" s="175">
        <f t="shared" si="35"/>
        <v>0</v>
      </c>
      <c r="I100" s="175">
        <f t="shared" si="35"/>
        <v>0</v>
      </c>
    </row>
    <row r="101" spans="1:9">
      <c r="A101" s="80">
        <f t="shared" si="27"/>
        <v>0</v>
      </c>
      <c r="B101" s="193"/>
      <c r="C101" s="175">
        <f t="shared" ref="C101:I101" si="36">$B101*C48</f>
        <v>0</v>
      </c>
      <c r="D101" s="175">
        <f t="shared" si="36"/>
        <v>0</v>
      </c>
      <c r="E101" s="175">
        <f t="shared" si="36"/>
        <v>0</v>
      </c>
      <c r="F101" s="175">
        <f t="shared" si="36"/>
        <v>0</v>
      </c>
      <c r="G101" s="175">
        <f t="shared" si="36"/>
        <v>0</v>
      </c>
      <c r="H101" s="175">
        <f t="shared" si="36"/>
        <v>0</v>
      </c>
      <c r="I101" s="175">
        <f t="shared" si="36"/>
        <v>0</v>
      </c>
    </row>
    <row r="102" spans="1:9">
      <c r="A102" s="80">
        <f t="shared" si="27"/>
        <v>0</v>
      </c>
      <c r="B102" s="193"/>
      <c r="C102" s="175">
        <f t="shared" ref="C102:I102" si="37">$B102*C49</f>
        <v>0</v>
      </c>
      <c r="D102" s="175">
        <f t="shared" si="37"/>
        <v>0</v>
      </c>
      <c r="E102" s="175">
        <f t="shared" si="37"/>
        <v>0</v>
      </c>
      <c r="F102" s="175">
        <f t="shared" si="37"/>
        <v>0</v>
      </c>
      <c r="G102" s="175">
        <f t="shared" si="37"/>
        <v>0</v>
      </c>
      <c r="H102" s="175">
        <f t="shared" si="37"/>
        <v>0</v>
      </c>
      <c r="I102" s="175">
        <f t="shared" si="37"/>
        <v>0</v>
      </c>
    </row>
    <row r="103" spans="1:9">
      <c r="A103" s="80">
        <f t="shared" si="27"/>
        <v>0</v>
      </c>
      <c r="B103" s="193"/>
      <c r="C103" s="175">
        <f t="shared" ref="C103:I103" si="38">$B103*C50</f>
        <v>0</v>
      </c>
      <c r="D103" s="175">
        <f t="shared" si="38"/>
        <v>0</v>
      </c>
      <c r="E103" s="175">
        <f t="shared" si="38"/>
        <v>0</v>
      </c>
      <c r="F103" s="175">
        <f t="shared" si="38"/>
        <v>0</v>
      </c>
      <c r="G103" s="175">
        <f t="shared" si="38"/>
        <v>0</v>
      </c>
      <c r="H103" s="175">
        <f t="shared" si="38"/>
        <v>0</v>
      </c>
      <c r="I103" s="175">
        <f t="shared" si="38"/>
        <v>0</v>
      </c>
    </row>
    <row r="104" spans="1:9">
      <c r="A104" s="80">
        <f t="shared" si="27"/>
        <v>0</v>
      </c>
      <c r="B104" s="193"/>
      <c r="C104" s="175">
        <f t="shared" ref="C104:I104" si="39">$B104*C51</f>
        <v>0</v>
      </c>
      <c r="D104" s="175">
        <f t="shared" si="39"/>
        <v>0</v>
      </c>
      <c r="E104" s="175">
        <f t="shared" si="39"/>
        <v>0</v>
      </c>
      <c r="F104" s="175">
        <f t="shared" si="39"/>
        <v>0</v>
      </c>
      <c r="G104" s="175">
        <f t="shared" si="39"/>
        <v>0</v>
      </c>
      <c r="H104" s="175">
        <f t="shared" si="39"/>
        <v>0</v>
      </c>
      <c r="I104" s="175">
        <f t="shared" si="39"/>
        <v>0</v>
      </c>
    </row>
    <row r="105" spans="1:9">
      <c r="A105" s="80">
        <f t="shared" si="27"/>
        <v>0</v>
      </c>
      <c r="B105" s="193"/>
      <c r="C105" s="175">
        <f t="shared" ref="C105:I105" si="40">$B105*C52</f>
        <v>0</v>
      </c>
      <c r="D105" s="175">
        <f t="shared" si="40"/>
        <v>0</v>
      </c>
      <c r="E105" s="175">
        <f t="shared" si="40"/>
        <v>0</v>
      </c>
      <c r="F105" s="175">
        <f t="shared" si="40"/>
        <v>0</v>
      </c>
      <c r="G105" s="175">
        <f t="shared" si="40"/>
        <v>0</v>
      </c>
      <c r="H105" s="175">
        <f t="shared" si="40"/>
        <v>0</v>
      </c>
      <c r="I105" s="175">
        <f t="shared" si="40"/>
        <v>0</v>
      </c>
    </row>
    <row r="106" spans="1:9">
      <c r="A106" s="80">
        <f t="shared" si="27"/>
        <v>0</v>
      </c>
      <c r="B106" s="193"/>
      <c r="C106" s="175">
        <f t="shared" ref="C106:I106" si="41">$B106*C53</f>
        <v>0</v>
      </c>
      <c r="D106" s="175">
        <f t="shared" si="41"/>
        <v>0</v>
      </c>
      <c r="E106" s="175">
        <f t="shared" si="41"/>
        <v>0</v>
      </c>
      <c r="F106" s="175">
        <f t="shared" si="41"/>
        <v>0</v>
      </c>
      <c r="G106" s="175">
        <f t="shared" si="41"/>
        <v>0</v>
      </c>
      <c r="H106" s="175">
        <f t="shared" si="41"/>
        <v>0</v>
      </c>
      <c r="I106" s="175">
        <f t="shared" si="41"/>
        <v>0</v>
      </c>
    </row>
    <row r="107" spans="1:9">
      <c r="A107" s="80" t="str">
        <f t="shared" si="27"/>
        <v>Pomegranate</v>
      </c>
      <c r="B107" s="193"/>
      <c r="C107" s="175">
        <f t="shared" ref="C107:I107" si="42">$B107*C54</f>
        <v>0</v>
      </c>
      <c r="D107" s="175">
        <f t="shared" si="42"/>
        <v>0</v>
      </c>
      <c r="E107" s="175">
        <f t="shared" si="42"/>
        <v>0</v>
      </c>
      <c r="F107" s="175">
        <f t="shared" si="42"/>
        <v>0</v>
      </c>
      <c r="G107" s="175">
        <f t="shared" si="42"/>
        <v>0</v>
      </c>
      <c r="H107" s="175">
        <f t="shared" si="42"/>
        <v>0</v>
      </c>
      <c r="I107" s="175">
        <f t="shared" si="42"/>
        <v>0</v>
      </c>
    </row>
    <row r="108" spans="1:9">
      <c r="A108" s="80" t="str">
        <f t="shared" si="27"/>
        <v>Custard Apple</v>
      </c>
      <c r="B108" s="193"/>
      <c r="C108" s="175">
        <f t="shared" ref="C108:I108" si="43">$B108*C55</f>
        <v>0</v>
      </c>
      <c r="D108" s="175">
        <f t="shared" si="43"/>
        <v>0</v>
      </c>
      <c r="E108" s="175">
        <f t="shared" si="43"/>
        <v>0</v>
      </c>
      <c r="F108" s="175">
        <f t="shared" si="43"/>
        <v>0</v>
      </c>
      <c r="G108" s="175">
        <f t="shared" si="43"/>
        <v>0</v>
      </c>
      <c r="H108" s="175">
        <f t="shared" si="43"/>
        <v>0</v>
      </c>
      <c r="I108" s="175">
        <f t="shared" si="43"/>
        <v>0</v>
      </c>
    </row>
    <row r="109" spans="1:9">
      <c r="A109" s="80" t="str">
        <f t="shared" si="27"/>
        <v>Guava</v>
      </c>
      <c r="B109" s="193"/>
      <c r="C109" s="175">
        <f t="shared" ref="C109:I109" si="44">$B109*C56</f>
        <v>0</v>
      </c>
      <c r="D109" s="175">
        <f t="shared" si="44"/>
        <v>0</v>
      </c>
      <c r="E109" s="175">
        <f t="shared" si="44"/>
        <v>0</v>
      </c>
      <c r="F109" s="175">
        <f t="shared" si="44"/>
        <v>0</v>
      </c>
      <c r="G109" s="175">
        <f t="shared" si="44"/>
        <v>0</v>
      </c>
      <c r="H109" s="175">
        <f t="shared" si="44"/>
        <v>0</v>
      </c>
      <c r="I109" s="175">
        <f t="shared" si="44"/>
        <v>0</v>
      </c>
    </row>
    <row r="110" spans="1:9">
      <c r="A110" s="80" t="str">
        <f t="shared" si="27"/>
        <v>Citrus</v>
      </c>
      <c r="B110" s="193"/>
      <c r="C110" s="175">
        <f t="shared" ref="C110:I110" si="45">$B110*C57</f>
        <v>0</v>
      </c>
      <c r="D110" s="175">
        <f t="shared" si="45"/>
        <v>0</v>
      </c>
      <c r="E110" s="175">
        <f t="shared" si="45"/>
        <v>0</v>
      </c>
      <c r="F110" s="175">
        <f t="shared" si="45"/>
        <v>0</v>
      </c>
      <c r="G110" s="175">
        <f t="shared" si="45"/>
        <v>0</v>
      </c>
      <c r="H110" s="175">
        <f t="shared" si="45"/>
        <v>0</v>
      </c>
      <c r="I110" s="175">
        <f t="shared" si="45"/>
        <v>0</v>
      </c>
    </row>
    <row r="111" spans="1:9">
      <c r="A111" s="80"/>
      <c r="B111" s="193"/>
      <c r="C111" s="175"/>
      <c r="D111" s="175"/>
      <c r="E111" s="175"/>
      <c r="F111" s="175"/>
      <c r="G111" s="175"/>
      <c r="H111" s="175"/>
      <c r="I111" s="175"/>
    </row>
    <row r="112" spans="1:9">
      <c r="A112" s="80"/>
      <c r="B112" s="193"/>
      <c r="C112" s="175"/>
      <c r="D112" s="175"/>
      <c r="E112" s="175"/>
      <c r="F112" s="175"/>
      <c r="G112" s="175"/>
      <c r="H112" s="175"/>
      <c r="I112" s="175"/>
    </row>
    <row r="113" spans="1:23">
      <c r="A113" s="82" t="s">
        <v>676</v>
      </c>
      <c r="B113" s="80" t="s">
        <v>675</v>
      </c>
      <c r="C113" s="80"/>
      <c r="D113" s="80"/>
      <c r="E113" s="80"/>
      <c r="F113" s="80"/>
      <c r="G113" s="80"/>
      <c r="H113" s="80"/>
      <c r="I113" s="80"/>
    </row>
    <row r="114" spans="1:23">
      <c r="A114" s="80" t="s">
        <v>385</v>
      </c>
      <c r="B114" s="193">
        <v>100</v>
      </c>
      <c r="C114" s="175">
        <f>SUM(C62:C110)*$B$114</f>
        <v>0</v>
      </c>
      <c r="D114" s="175">
        <f t="shared" ref="D114:I114" si="46">SUM(D62:D110)*$B$114</f>
        <v>0</v>
      </c>
      <c r="E114" s="175">
        <f t="shared" si="46"/>
        <v>0</v>
      </c>
      <c r="F114" s="175">
        <f t="shared" si="46"/>
        <v>0</v>
      </c>
      <c r="G114" s="175">
        <f t="shared" si="46"/>
        <v>0</v>
      </c>
      <c r="H114" s="175">
        <f t="shared" si="46"/>
        <v>0</v>
      </c>
      <c r="I114" s="175">
        <f t="shared" si="46"/>
        <v>0</v>
      </c>
    </row>
    <row r="115" spans="1:23">
      <c r="A115" s="80" t="s">
        <v>175</v>
      </c>
      <c r="B115" s="193">
        <v>30</v>
      </c>
      <c r="C115" s="175">
        <f>SUM(C62:C110)*$B$115</f>
        <v>0</v>
      </c>
      <c r="D115" s="175">
        <f t="shared" ref="D115:I115" si="47">SUM(D62:D110)*$B$115</f>
        <v>0</v>
      </c>
      <c r="E115" s="175">
        <f t="shared" si="47"/>
        <v>0</v>
      </c>
      <c r="F115" s="175">
        <f t="shared" si="47"/>
        <v>0</v>
      </c>
      <c r="G115" s="175">
        <f t="shared" si="47"/>
        <v>0</v>
      </c>
      <c r="H115" s="175">
        <f t="shared" si="47"/>
        <v>0</v>
      </c>
      <c r="I115" s="175">
        <f t="shared" si="47"/>
        <v>0</v>
      </c>
    </row>
    <row r="116" spans="1:23">
      <c r="A116" s="80" t="s">
        <v>177</v>
      </c>
      <c r="B116" s="193">
        <v>30</v>
      </c>
      <c r="C116" s="175">
        <f>SUM(C62:C110)*$B$116</f>
        <v>0</v>
      </c>
      <c r="D116" s="175">
        <f t="shared" ref="D116:I116" si="48">SUM(D62:D110)*$B$116</f>
        <v>0</v>
      </c>
      <c r="E116" s="175">
        <f t="shared" si="48"/>
        <v>0</v>
      </c>
      <c r="F116" s="175">
        <f t="shared" si="48"/>
        <v>0</v>
      </c>
      <c r="G116" s="175">
        <f t="shared" si="48"/>
        <v>0</v>
      </c>
      <c r="H116" s="175">
        <f t="shared" si="48"/>
        <v>0</v>
      </c>
      <c r="I116" s="175">
        <f t="shared" si="48"/>
        <v>0</v>
      </c>
    </row>
    <row r="117" spans="1:23">
      <c r="A117" s="82" t="s">
        <v>677</v>
      </c>
      <c r="B117" s="193"/>
      <c r="C117" s="80"/>
      <c r="D117" s="80"/>
      <c r="E117" s="80"/>
      <c r="F117" s="80"/>
      <c r="G117" s="80"/>
      <c r="H117" s="80"/>
      <c r="I117" s="80"/>
    </row>
    <row r="118" spans="1:23">
      <c r="A118" s="80" t="s">
        <v>180</v>
      </c>
      <c r="B118" s="193">
        <v>0.2</v>
      </c>
      <c r="C118" s="175">
        <f>SUM(C62:C110)*$B$118</f>
        <v>0</v>
      </c>
      <c r="D118" s="175">
        <f t="shared" ref="D118:I118" si="49">SUM(D62:D110)*$B$118</f>
        <v>0</v>
      </c>
      <c r="E118" s="175">
        <f t="shared" si="49"/>
        <v>0</v>
      </c>
      <c r="F118" s="175">
        <f t="shared" si="49"/>
        <v>0</v>
      </c>
      <c r="G118" s="175">
        <f t="shared" si="49"/>
        <v>0</v>
      </c>
      <c r="H118" s="175">
        <f t="shared" si="49"/>
        <v>0</v>
      </c>
      <c r="I118" s="175">
        <f t="shared" si="49"/>
        <v>0</v>
      </c>
    </row>
    <row r="119" spans="1:23">
      <c r="A119" s="80" t="s">
        <v>181</v>
      </c>
      <c r="B119" s="193">
        <v>0.5</v>
      </c>
      <c r="C119" s="175">
        <f>SUM(C62:C110)*$B$119</f>
        <v>0</v>
      </c>
      <c r="D119" s="175">
        <f t="shared" ref="D119:I119" si="50">SUM(D62:D110)*$B$119</f>
        <v>0</v>
      </c>
      <c r="E119" s="175">
        <f t="shared" si="50"/>
        <v>0</v>
      </c>
      <c r="F119" s="175">
        <f t="shared" si="50"/>
        <v>0</v>
      </c>
      <c r="G119" s="175">
        <f t="shared" si="50"/>
        <v>0</v>
      </c>
      <c r="H119" s="175">
        <f t="shared" si="50"/>
        <v>0</v>
      </c>
      <c r="I119" s="175">
        <f t="shared" si="50"/>
        <v>0</v>
      </c>
    </row>
    <row r="122" spans="1:23" ht="18.75">
      <c r="A122" s="562" t="s">
        <v>571</v>
      </c>
      <c r="B122" s="562"/>
      <c r="C122" s="562"/>
      <c r="D122" s="562"/>
      <c r="E122" s="562"/>
      <c r="F122" s="562"/>
      <c r="G122" s="562"/>
      <c r="H122" s="562"/>
      <c r="I122" s="562"/>
      <c r="J122" s="562"/>
    </row>
    <row r="123" spans="1:23">
      <c r="A123" s="20"/>
      <c r="B123" s="48"/>
      <c r="C123" s="20"/>
      <c r="D123" s="20"/>
      <c r="E123" s="20"/>
      <c r="F123" s="20"/>
      <c r="G123" s="20"/>
      <c r="H123" s="20"/>
    </row>
    <row r="124" spans="1:23">
      <c r="A124" s="168"/>
      <c r="B124" s="168"/>
      <c r="C124" s="168"/>
      <c r="D124" s="169">
        <v>1</v>
      </c>
      <c r="E124" s="170">
        <f>(D124*5%)+D124</f>
        <v>1.05</v>
      </c>
      <c r="F124" s="170">
        <f t="shared" ref="F124:J124" si="51">(E124*5%)+E124</f>
        <v>1.1025</v>
      </c>
      <c r="G124" s="170">
        <f t="shared" si="51"/>
        <v>1.1576250000000001</v>
      </c>
      <c r="H124" s="170">
        <f t="shared" si="51"/>
        <v>1.2155062500000002</v>
      </c>
      <c r="I124" s="170">
        <f t="shared" si="51"/>
        <v>1.2762815625000004</v>
      </c>
      <c r="J124" s="170">
        <f t="shared" si="51"/>
        <v>1.3400956406250004</v>
      </c>
      <c r="K124" s="75"/>
      <c r="U124" s="75"/>
      <c r="V124" s="75"/>
      <c r="W124" s="75"/>
    </row>
    <row r="125" spans="1:23">
      <c r="A125" s="75"/>
      <c r="B125" s="75"/>
      <c r="C125" s="75"/>
      <c r="D125" s="75"/>
      <c r="E125" s="75"/>
      <c r="F125" s="75"/>
      <c r="G125" s="75"/>
      <c r="H125" s="75"/>
      <c r="I125" s="75"/>
      <c r="J125" s="75"/>
      <c r="K125" s="75"/>
      <c r="U125" s="75"/>
      <c r="V125" s="75"/>
      <c r="W125" s="75"/>
    </row>
    <row r="126" spans="1:23">
      <c r="A126" s="129" t="s">
        <v>0</v>
      </c>
      <c r="B126" s="129" t="s">
        <v>133</v>
      </c>
      <c r="C126" s="129" t="s">
        <v>151</v>
      </c>
      <c r="D126" s="101" t="s">
        <v>2</v>
      </c>
      <c r="E126" s="101" t="s">
        <v>3</v>
      </c>
      <c r="F126" s="101" t="s">
        <v>4</v>
      </c>
      <c r="G126" s="101" t="s">
        <v>5</v>
      </c>
      <c r="H126" s="101" t="s">
        <v>6</v>
      </c>
      <c r="I126" s="101" t="s">
        <v>166</v>
      </c>
      <c r="J126" s="101" t="s">
        <v>165</v>
      </c>
      <c r="K126" s="75"/>
      <c r="U126" s="75"/>
      <c r="V126" s="75"/>
      <c r="W126" s="75"/>
    </row>
    <row r="127" spans="1:23">
      <c r="A127" s="78" t="s">
        <v>680</v>
      </c>
      <c r="B127" s="76"/>
      <c r="C127" s="76"/>
      <c r="D127" s="76"/>
      <c r="E127" s="76"/>
      <c r="F127" s="76"/>
      <c r="G127" s="76"/>
      <c r="H127" s="76"/>
      <c r="I127" s="76"/>
      <c r="J127" s="76"/>
      <c r="K127" s="75"/>
      <c r="U127" s="75"/>
      <c r="V127" s="75"/>
      <c r="W127" s="75"/>
    </row>
    <row r="128" spans="1:23">
      <c r="A128" s="76" t="s">
        <v>279</v>
      </c>
      <c r="B128" s="76"/>
      <c r="C128" s="76"/>
      <c r="D128" s="76"/>
      <c r="E128" s="76"/>
      <c r="F128" s="76"/>
      <c r="G128" s="76"/>
      <c r="H128" s="76"/>
      <c r="I128" s="76"/>
      <c r="J128" s="76"/>
      <c r="K128" s="75"/>
      <c r="U128" s="75"/>
      <c r="V128" s="75"/>
      <c r="W128" s="75"/>
    </row>
    <row r="129" spans="1:23">
      <c r="A129" s="78" t="str">
        <f t="shared" ref="A129:A160" si="52">A8</f>
        <v>Kharif Crops</v>
      </c>
      <c r="B129" s="76"/>
      <c r="C129" s="76" t="s">
        <v>678</v>
      </c>
      <c r="D129" s="76"/>
      <c r="E129" s="76"/>
      <c r="F129" s="76"/>
      <c r="G129" s="76"/>
      <c r="H129" s="76"/>
      <c r="I129" s="76"/>
      <c r="J129" s="76"/>
      <c r="K129" s="75"/>
      <c r="U129" s="75"/>
      <c r="V129" s="75"/>
      <c r="W129" s="75"/>
    </row>
    <row r="130" spans="1:23">
      <c r="A130" s="76" t="str">
        <f t="shared" si="52"/>
        <v>Maize (Kharif)</v>
      </c>
      <c r="B130" s="76"/>
      <c r="C130" s="202">
        <v>90</v>
      </c>
      <c r="D130" s="77">
        <f>(C62*(1-'5.Closing Stock &amp; W Capital'!$D$15))*$C$130*D$124</f>
        <v>0</v>
      </c>
      <c r="E130" s="77">
        <f>((D62*(1-'5.Closing Stock &amp; W Capital'!$D$15))+(C62*'5.Closing Stock &amp; W Capital'!$D$15))*$C$130*E$124</f>
        <v>0</v>
      </c>
      <c r="F130" s="77">
        <f>((E62*(1-'5.Closing Stock &amp; W Capital'!$D$15))+(D62*'5.Closing Stock &amp; W Capital'!$D$15))*$C$130*F$124</f>
        <v>0</v>
      </c>
      <c r="G130" s="77">
        <f>((F62*(1-'5.Closing Stock &amp; W Capital'!$D$15))+(E62*'5.Closing Stock &amp; W Capital'!$D$15))*$C$130*G$124</f>
        <v>0</v>
      </c>
      <c r="H130" s="77">
        <f>((G62*(1-'5.Closing Stock &amp; W Capital'!$D$15))+(F62*'5.Closing Stock &amp; W Capital'!$D$15))*$C$130*H$124</f>
        <v>0</v>
      </c>
      <c r="I130" s="77">
        <f>((H62*(1-'5.Closing Stock &amp; W Capital'!$D$15))+(G62*'5.Closing Stock &amp; W Capital'!$D$15))*$C$130*I$124</f>
        <v>0</v>
      </c>
      <c r="J130" s="77">
        <f>((I62*(1-'5.Closing Stock &amp; W Capital'!$D$15))+(H62*'5.Closing Stock &amp; W Capital'!$D$15))*$C$130*J$124</f>
        <v>0</v>
      </c>
      <c r="K130" s="159"/>
      <c r="U130" s="75"/>
      <c r="V130" s="75"/>
      <c r="W130" s="75"/>
    </row>
    <row r="131" spans="1:23">
      <c r="A131" s="76" t="str">
        <f t="shared" si="52"/>
        <v>Red Gram/Tur</v>
      </c>
      <c r="B131" s="76"/>
      <c r="C131" s="202">
        <v>80</v>
      </c>
      <c r="D131" s="77">
        <f>(C63*(1-'5.Closing Stock &amp; W Capital'!$D$15))*$C$131*D$124</f>
        <v>0</v>
      </c>
      <c r="E131" s="77">
        <f>((D63*(1-'5.Closing Stock &amp; W Capital'!$D$15))+(C63*'5.Closing Stock &amp; W Capital'!$D$15))*$C$131*E$124</f>
        <v>0</v>
      </c>
      <c r="F131" s="77">
        <f>((E63*(1-'5.Closing Stock &amp; W Capital'!$D$15))+(D63*'5.Closing Stock &amp; W Capital'!$D$15))*$C$131*F$124</f>
        <v>0</v>
      </c>
      <c r="G131" s="77">
        <f>((F63*(1-'5.Closing Stock &amp; W Capital'!$D$15))+(E63*'5.Closing Stock &amp; W Capital'!$D$15))*$C$131*G124</f>
        <v>0</v>
      </c>
      <c r="H131" s="77">
        <f>((G63*(1-'5.Closing Stock &amp; W Capital'!$D$15))+(F63*'5.Closing Stock &amp; W Capital'!$D$15))*$C$131*H124</f>
        <v>0</v>
      </c>
      <c r="I131" s="77">
        <f>((H63*(1-'5.Closing Stock &amp; W Capital'!$D$15))+(G63*'5.Closing Stock &amp; W Capital'!$D$15))*$C$131*I124</f>
        <v>0</v>
      </c>
      <c r="J131" s="77">
        <f>((I63*(1-'5.Closing Stock &amp; W Capital'!$D$15))+(H63*'5.Closing Stock &amp; W Capital'!$D$15))*$C$131*J124</f>
        <v>0</v>
      </c>
      <c r="K131" s="75"/>
      <c r="U131" s="159"/>
      <c r="V131" s="75"/>
      <c r="W131" s="75"/>
    </row>
    <row r="132" spans="1:23">
      <c r="A132" s="76" t="str">
        <f t="shared" si="52"/>
        <v>Paddy/Rice</v>
      </c>
      <c r="B132" s="76"/>
      <c r="C132" s="202">
        <v>65</v>
      </c>
      <c r="D132" s="77">
        <f>(C64*(1-'5.Closing Stock &amp; W Capital'!$D$15))*$C$132*D$124</f>
        <v>0</v>
      </c>
      <c r="E132" s="77">
        <f>((D64*(1-'5.Closing Stock &amp; W Capital'!$D$15))+(C64*'5.Closing Stock &amp; W Capital'!$D$15))*$C$132*E$124</f>
        <v>0</v>
      </c>
      <c r="F132" s="77">
        <f>((E64*(1-'5.Closing Stock &amp; W Capital'!$D$15))+(D64*'5.Closing Stock &amp; W Capital'!$D$15))*$C$132*F$124</f>
        <v>0</v>
      </c>
      <c r="G132" s="77">
        <f>((F64*(1-'5.Closing Stock &amp; W Capital'!$D$15))+(E64*'5.Closing Stock &amp; W Capital'!$D$15))*$C$132*G124</f>
        <v>0</v>
      </c>
      <c r="H132" s="77">
        <f>((G64*(1-'5.Closing Stock &amp; W Capital'!$D$15))+(F64*'5.Closing Stock &amp; W Capital'!$D$15))*$C$132*H124</f>
        <v>0</v>
      </c>
      <c r="I132" s="77">
        <f>((H64*(1-'5.Closing Stock &amp; W Capital'!$D$15))+(G64*'5.Closing Stock &amp; W Capital'!$D$15))*$C$132*I124</f>
        <v>0</v>
      </c>
      <c r="J132" s="77">
        <f>((I64*(1-'5.Closing Stock &amp; W Capital'!$D$15))+(H64*'5.Closing Stock &amp; W Capital'!$D$15))*$C$132*J124</f>
        <v>0</v>
      </c>
      <c r="K132" s="75"/>
      <c r="U132" s="75"/>
      <c r="V132" s="75"/>
      <c r="W132" s="75"/>
    </row>
    <row r="133" spans="1:23">
      <c r="A133" s="76" t="str">
        <f t="shared" si="52"/>
        <v>Green Gram/ Moong</v>
      </c>
      <c r="B133" s="76"/>
      <c r="C133" s="202">
        <v>85</v>
      </c>
      <c r="D133" s="77">
        <f>(C65*(1-'5.Closing Stock &amp; W Capital'!$D$15))*$C$133*D$124</f>
        <v>0</v>
      </c>
      <c r="E133" s="77">
        <f>((D65*(1-'5.Closing Stock &amp; W Capital'!$D$15))+(C65*'5.Closing Stock &amp; W Capital'!$D$15))*$C$133*E$124</f>
        <v>0</v>
      </c>
      <c r="F133" s="77">
        <f>((E65*(1-'5.Closing Stock &amp; W Capital'!$D$15))+(D65*'5.Closing Stock &amp; W Capital'!$D$15))*$C$133*F$124</f>
        <v>0</v>
      </c>
      <c r="G133" s="77">
        <f>((F65*(1-'5.Closing Stock &amp; W Capital'!$D$15))+(E65*'5.Closing Stock &amp; W Capital'!$D$15))*$C$133*G$124</f>
        <v>0</v>
      </c>
      <c r="H133" s="77">
        <f>((G65*(1-'5.Closing Stock &amp; W Capital'!$D$15))+(F65*'5.Closing Stock &amp; W Capital'!$D$15))*$C$133*H$124</f>
        <v>0</v>
      </c>
      <c r="I133" s="77">
        <f>((H65*(1-'5.Closing Stock &amp; W Capital'!$D$15))+(G65*'5.Closing Stock &amp; W Capital'!$D$15))*$C$133*I$124</f>
        <v>0</v>
      </c>
      <c r="J133" s="77">
        <f>((I65*(1-'5.Closing Stock &amp; W Capital'!$D$15))+(H65*'5.Closing Stock &amp; W Capital'!$D$15))*$C$133*J$124</f>
        <v>0</v>
      </c>
      <c r="K133" s="75"/>
      <c r="U133" s="75"/>
      <c r="V133" s="75"/>
      <c r="W133" s="75"/>
    </row>
    <row r="134" spans="1:23">
      <c r="A134" s="76" t="str">
        <f t="shared" si="52"/>
        <v>Soyabean</v>
      </c>
      <c r="B134" s="76"/>
      <c r="C134" s="202">
        <v>37</v>
      </c>
      <c r="D134" s="77">
        <f>(C66*(1-'5.Closing Stock &amp; W Capital'!$D$15))*$C$134*D$124</f>
        <v>0</v>
      </c>
      <c r="E134" s="77">
        <f>((D66*(1-'5.Closing Stock &amp; W Capital'!$D$15))+(C66*'5.Closing Stock &amp; W Capital'!$D$15))*$C$135*E$124</f>
        <v>0</v>
      </c>
      <c r="F134" s="77">
        <f>((E66*(1-'5.Closing Stock &amp; W Capital'!$D$15))+(D66*'5.Closing Stock &amp; W Capital'!$D$15))*$C$135*F$124</f>
        <v>0</v>
      </c>
      <c r="G134" s="77">
        <f>((F66*(1-'5.Closing Stock &amp; W Capital'!$D$15))+(E66*'5.Closing Stock &amp; W Capital'!$D$15))*$C$135*G$124</f>
        <v>0</v>
      </c>
      <c r="H134" s="77">
        <f>((G66*(1-'5.Closing Stock &amp; W Capital'!$D$15))+(F66*'5.Closing Stock &amp; W Capital'!$D$15))*$C$135*H$124</f>
        <v>0</v>
      </c>
      <c r="I134" s="77">
        <f>((H66*(1-'5.Closing Stock &amp; W Capital'!$D$15))+(G66*'5.Closing Stock &amp; W Capital'!$D$15))*$C$135*I$124</f>
        <v>0</v>
      </c>
      <c r="J134" s="77">
        <f>((I66*(1-'5.Closing Stock &amp; W Capital'!$D$15))+(H66*'5.Closing Stock &amp; W Capital'!$D$15))*$C$135*J$124</f>
        <v>0</v>
      </c>
      <c r="K134" s="75"/>
      <c r="U134" s="75"/>
      <c r="V134" s="75"/>
      <c r="W134" s="75"/>
    </row>
    <row r="135" spans="1:23">
      <c r="A135" s="76" t="str">
        <f t="shared" si="52"/>
        <v>Black Gram/Udid</v>
      </c>
      <c r="B135" s="76"/>
      <c r="C135" s="202">
        <v>75</v>
      </c>
      <c r="D135" s="77">
        <f>(C67*(1-'5.Closing Stock &amp; W Capital'!$D$15))*$C$135*D$124</f>
        <v>0</v>
      </c>
      <c r="E135" s="77">
        <f>((D67*(1-'5.Closing Stock &amp; W Capital'!$D$15))+(C67*'5.Closing Stock &amp; W Capital'!$D$15))*$C$135*E$124</f>
        <v>0</v>
      </c>
      <c r="F135" s="77">
        <f>((E67*(1-'5.Closing Stock &amp; W Capital'!$D$15))+(D67*'5.Closing Stock &amp; W Capital'!$D$15))*$C$135*F$124</f>
        <v>0</v>
      </c>
      <c r="G135" s="77">
        <f>((F67*(1-'5.Closing Stock &amp; W Capital'!$D$15))+(E67*'5.Closing Stock &amp; W Capital'!$D$15))*$C$135*G$124</f>
        <v>0</v>
      </c>
      <c r="H135" s="77">
        <f>((G67*(1-'5.Closing Stock &amp; W Capital'!$D$15))+(F67*'5.Closing Stock &amp; W Capital'!$D$15))*$C$135*H$124</f>
        <v>0</v>
      </c>
      <c r="I135" s="77">
        <f>((H67*(1-'5.Closing Stock &amp; W Capital'!$D$15))+(G67*'5.Closing Stock &amp; W Capital'!$D$15))*$C$135*I$124</f>
        <v>0</v>
      </c>
      <c r="J135" s="77">
        <f>((I67*(1-'5.Closing Stock &amp; W Capital'!$D$15))+(H67*'5.Closing Stock &amp; W Capital'!$D$15))*$C$135*J$124</f>
        <v>0</v>
      </c>
      <c r="K135" s="75"/>
      <c r="U135" s="75"/>
      <c r="V135" s="75"/>
      <c r="W135" s="75"/>
    </row>
    <row r="136" spans="1:23">
      <c r="A136" s="76" t="str">
        <f t="shared" si="52"/>
        <v>Bajra (Kharif)</v>
      </c>
      <c r="B136" s="76"/>
      <c r="C136" s="202">
        <v>30</v>
      </c>
      <c r="D136" s="77">
        <f>(C68*(1-'5.Closing Stock &amp; W Capital'!$D$15))*$C$136*D$124</f>
        <v>0</v>
      </c>
      <c r="E136" s="77">
        <f>((D68*(1-'5.Closing Stock &amp; W Capital'!$D$15))+(C68*'5.Closing Stock &amp; W Capital'!$D$15))*$C$136*E$124</f>
        <v>0</v>
      </c>
      <c r="F136" s="77">
        <f>((E68*(1-'5.Closing Stock &amp; W Capital'!$D$15))+(D68*'5.Closing Stock &amp; W Capital'!$D$15))*$C$136*F$124</f>
        <v>0</v>
      </c>
      <c r="G136" s="77">
        <f>((F68*(1-'5.Closing Stock &amp; W Capital'!$D$15))+(E68*'5.Closing Stock &amp; W Capital'!$D$15))*$C$136*G$124</f>
        <v>0</v>
      </c>
      <c r="H136" s="77">
        <f>((G68*(1-'5.Closing Stock &amp; W Capital'!$D$15))+(F68*'5.Closing Stock &amp; W Capital'!$D$15))*$C$136*H$124</f>
        <v>0</v>
      </c>
      <c r="I136" s="77">
        <f>((H68*(1-'5.Closing Stock &amp; W Capital'!$D$15))+(G68*'5.Closing Stock &amp; W Capital'!$D$15))*$C$136*I$124</f>
        <v>0</v>
      </c>
      <c r="J136" s="77">
        <f>((I68*(1-'5.Closing Stock &amp; W Capital'!$D$15))+(H68*'5.Closing Stock &amp; W Capital'!$D$15))*$C$136*J$124</f>
        <v>0</v>
      </c>
      <c r="K136" s="75"/>
      <c r="U136" s="75"/>
      <c r="V136" s="75"/>
      <c r="W136" s="75"/>
    </row>
    <row r="137" spans="1:23">
      <c r="A137" s="76" t="str">
        <f t="shared" si="52"/>
        <v>Jawar</v>
      </c>
      <c r="B137" s="76"/>
      <c r="C137" s="202">
        <v>30</v>
      </c>
      <c r="D137" s="77">
        <f>(C69*(1-'5.Closing Stock &amp; W Capital'!$D$15))*$C$137*D$124</f>
        <v>0</v>
      </c>
      <c r="E137" s="77">
        <f>((D69*(1-'5.Closing Stock &amp; W Capital'!$D$15))+(C69*'5.Closing Stock &amp; W Capital'!$D$15))*$C$137*E$124</f>
        <v>0</v>
      </c>
      <c r="F137" s="77">
        <f>((E69*(1-'5.Closing Stock &amp; W Capital'!$D$15))+(D69*'5.Closing Stock &amp; W Capital'!$D$15))*$C$137*F$124</f>
        <v>0</v>
      </c>
      <c r="G137" s="77">
        <f>((F69*(1-'5.Closing Stock &amp; W Capital'!$D$15))+(E69*'5.Closing Stock &amp; W Capital'!$D$15))*$C$137*G$124</f>
        <v>0</v>
      </c>
      <c r="H137" s="77">
        <f>((G69*(1-'5.Closing Stock &amp; W Capital'!$D$15))+(F69*'5.Closing Stock &amp; W Capital'!$D$15))*$C$137*H$124</f>
        <v>0</v>
      </c>
      <c r="I137" s="77">
        <f>((H69*(1-'5.Closing Stock &amp; W Capital'!$D$15))+(G69*'5.Closing Stock &amp; W Capital'!$D$15))*$C$137*I$124</f>
        <v>0</v>
      </c>
      <c r="J137" s="77">
        <f>((I69*(1-'5.Closing Stock &amp; W Capital'!$D$15))+(H69*'5.Closing Stock &amp; W Capital'!$D$15))*$C$137*J$124</f>
        <v>0</v>
      </c>
      <c r="K137" s="75"/>
      <c r="U137" s="75"/>
      <c r="V137" s="75"/>
      <c r="W137" s="75"/>
    </row>
    <row r="138" spans="1:23">
      <c r="A138" s="78" t="str">
        <f t="shared" si="52"/>
        <v>Rabi Crop</v>
      </c>
      <c r="B138" s="76"/>
      <c r="C138" s="202"/>
      <c r="D138" s="77"/>
      <c r="E138" s="77"/>
      <c r="F138" s="77"/>
      <c r="G138" s="77"/>
      <c r="H138" s="77"/>
      <c r="I138" s="77"/>
      <c r="J138" s="77"/>
      <c r="K138" s="75"/>
      <c r="U138" s="75"/>
      <c r="V138" s="75"/>
      <c r="W138" s="75"/>
    </row>
    <row r="139" spans="1:23">
      <c r="A139" s="76" t="str">
        <f t="shared" si="52"/>
        <v>Maize (Rabbi)</v>
      </c>
      <c r="B139" s="76"/>
      <c r="C139" s="202">
        <v>40</v>
      </c>
      <c r="D139" s="77">
        <f>(C71*(1-'5.Closing Stock &amp; W Capital'!$D$15))*$C$139*D$124</f>
        <v>0</v>
      </c>
      <c r="E139" s="77">
        <f>((D71*(1-'5.Closing Stock &amp; W Capital'!$D$15))+(C71*'5.Closing Stock &amp; W Capital'!$D$15))*$C$139*E$124</f>
        <v>0</v>
      </c>
      <c r="F139" s="77">
        <f>((E71*(1-'5.Closing Stock &amp; W Capital'!$D$15))+(D71*'5.Closing Stock &amp; W Capital'!$D$15))*$C$139*F$124</f>
        <v>0</v>
      </c>
      <c r="G139" s="77">
        <f>((F71*(1-'5.Closing Stock &amp; W Capital'!$D$15))+(E71*'5.Closing Stock &amp; W Capital'!$D$15))*$C$139*G$124</f>
        <v>0</v>
      </c>
      <c r="H139" s="77">
        <f>((G71*(1-'5.Closing Stock &amp; W Capital'!$D$15))+(F71*'5.Closing Stock &amp; W Capital'!$D$15))*$C$139*H$124</f>
        <v>0</v>
      </c>
      <c r="I139" s="77">
        <f>((H71*(1-'5.Closing Stock &amp; W Capital'!$D$15))+(G71*'5.Closing Stock &amp; W Capital'!$D$15))*$C$139*I$124</f>
        <v>0</v>
      </c>
      <c r="J139" s="77">
        <f>((I71*(1-'5.Closing Stock &amp; W Capital'!$D$15))+(H71*'5.Closing Stock &amp; W Capital'!$D$15))*$C$139*J$124</f>
        <v>0</v>
      </c>
      <c r="K139" s="75"/>
      <c r="U139" s="75"/>
      <c r="V139" s="75"/>
      <c r="W139" s="75"/>
    </row>
    <row r="140" spans="1:23">
      <c r="A140" s="76" t="str">
        <f t="shared" si="52"/>
        <v>Gram (Rabbi)</v>
      </c>
      <c r="B140" s="76"/>
      <c r="C140" s="202">
        <v>75</v>
      </c>
      <c r="D140" s="77">
        <f>(C72*(1-'5.Closing Stock &amp; W Capital'!$D$15))*$C$140*D$124</f>
        <v>0</v>
      </c>
      <c r="E140" s="77">
        <f>((D72*(1-'5.Closing Stock &amp; W Capital'!$D$15))+(C72*'5.Closing Stock &amp; W Capital'!$D$15))*$C$140*E$124</f>
        <v>0</v>
      </c>
      <c r="F140" s="77">
        <f>((E72*(1-'5.Closing Stock &amp; W Capital'!$D$15))+(D72*'5.Closing Stock &amp; W Capital'!$D$15))*$C$140*F$124</f>
        <v>0</v>
      </c>
      <c r="G140" s="77">
        <f>((F72*(1-'5.Closing Stock &amp; W Capital'!$D$15))+(E72*'5.Closing Stock &amp; W Capital'!$D$15))*$C$140*G$124</f>
        <v>0</v>
      </c>
      <c r="H140" s="77">
        <f>((G72*(1-'5.Closing Stock &amp; W Capital'!$D$15))+(F72*'5.Closing Stock &amp; W Capital'!$D$15))*$C$140*H$124</f>
        <v>0</v>
      </c>
      <c r="I140" s="77">
        <f>((H72*(1-'5.Closing Stock &amp; W Capital'!$D$15))+(G72*'5.Closing Stock &amp; W Capital'!$D$15))*$C$140*I$124</f>
        <v>0</v>
      </c>
      <c r="J140" s="77">
        <f>((I72*(1-'5.Closing Stock &amp; W Capital'!$D$15))+(H72*'5.Closing Stock &amp; W Capital'!$D$15))*$C$140*J$124</f>
        <v>0</v>
      </c>
      <c r="K140" s="75"/>
      <c r="U140" s="75"/>
      <c r="V140" s="75"/>
      <c r="W140" s="75"/>
    </row>
    <row r="141" spans="1:23">
      <c r="A141" s="76" t="str">
        <f t="shared" si="52"/>
        <v>Wheat (Rabbi)</v>
      </c>
      <c r="B141" s="76"/>
      <c r="C141" s="202">
        <v>27</v>
      </c>
      <c r="D141" s="77">
        <f>(C73*(1-'5.Closing Stock &amp; W Capital'!$D$15))*$C$141*D$124</f>
        <v>0</v>
      </c>
      <c r="E141" s="77">
        <f>((D73*(1-'5.Closing Stock &amp; W Capital'!$D$15))+(C73*'5.Closing Stock &amp; W Capital'!$D$15))*$C$141*E$124</f>
        <v>0</v>
      </c>
      <c r="F141" s="77">
        <f>((E73*(1-'5.Closing Stock &amp; W Capital'!$D$15))+(D73*'5.Closing Stock &amp; W Capital'!$D$15))*$C$141*F$124</f>
        <v>0</v>
      </c>
      <c r="G141" s="77">
        <f>((F73*(1-'5.Closing Stock &amp; W Capital'!$D$15))+(E73*'5.Closing Stock &amp; W Capital'!$D$15))*$C$141*G$124</f>
        <v>0</v>
      </c>
      <c r="H141" s="77">
        <f>((G73*(1-'5.Closing Stock &amp; W Capital'!$D$15))+(F73*'5.Closing Stock &amp; W Capital'!$D$15))*$C$141*H$124</f>
        <v>0</v>
      </c>
      <c r="I141" s="77">
        <f>((H73*(1-'5.Closing Stock &amp; W Capital'!$D$15))+(G73*'5.Closing Stock &amp; W Capital'!$D$15))*$C$141*I$124</f>
        <v>0</v>
      </c>
      <c r="J141" s="77">
        <f>((I73*(1-'5.Closing Stock &amp; W Capital'!$D$15))+(H73*'5.Closing Stock &amp; W Capital'!$D$15))*$C$141*J$124</f>
        <v>0</v>
      </c>
      <c r="K141" s="75"/>
      <c r="U141" s="75"/>
      <c r="V141" s="75"/>
      <c r="W141" s="75"/>
    </row>
    <row r="142" spans="1:23">
      <c r="A142" s="76">
        <f t="shared" si="52"/>
        <v>0</v>
      </c>
      <c r="B142" s="76"/>
      <c r="C142" s="202">
        <v>27</v>
      </c>
      <c r="D142" s="77">
        <f>(C74*(1-'5.Closing Stock &amp; W Capital'!$D$15))*$C$142*D$124</f>
        <v>0</v>
      </c>
      <c r="E142" s="77">
        <f>((D74*(1-'5.Closing Stock &amp; W Capital'!$D$15))+(C74*'5.Closing Stock &amp; W Capital'!$D$15))*$C$142*E$124</f>
        <v>0</v>
      </c>
      <c r="F142" s="77">
        <f>((E74*(1-'5.Closing Stock &amp; W Capital'!$D$15))+(D74*'5.Closing Stock &amp; W Capital'!$D$15))*$C$142*F$124</f>
        <v>0</v>
      </c>
      <c r="G142" s="77">
        <f>((F74*(1-'5.Closing Stock &amp; W Capital'!$D$15))+(E74*'5.Closing Stock &amp; W Capital'!$D$15))*$C$142*G$124</f>
        <v>0</v>
      </c>
      <c r="H142" s="77">
        <f>((G74*(1-'5.Closing Stock &amp; W Capital'!$D$15))+(F74*'5.Closing Stock &amp; W Capital'!$D$15))*$C$142*H$124</f>
        <v>0</v>
      </c>
      <c r="I142" s="77">
        <f>((H74*(1-'5.Closing Stock &amp; W Capital'!$D$15))+(G74*'5.Closing Stock &amp; W Capital'!$D$15))*$C$142*I$124</f>
        <v>0</v>
      </c>
      <c r="J142" s="77">
        <f>((I74*(1-'5.Closing Stock &amp; W Capital'!$D$15))+(H74*'5.Closing Stock &amp; W Capital'!$D$15))*$C$142*J$124</f>
        <v>0</v>
      </c>
      <c r="K142" s="75"/>
      <c r="U142" s="75"/>
      <c r="V142" s="75"/>
      <c r="W142" s="75"/>
    </row>
    <row r="143" spans="1:23">
      <c r="A143" s="76">
        <f t="shared" si="52"/>
        <v>0</v>
      </c>
      <c r="B143" s="76"/>
      <c r="C143" s="202"/>
      <c r="D143" s="77">
        <f>(C75*(1-'5.Closing Stock &amp; W Capital'!$D$15))*$C$143*D$124</f>
        <v>0</v>
      </c>
      <c r="E143" s="77">
        <f>((D75*(1-'5.Closing Stock &amp; W Capital'!$D$15))+(C75*'5.Closing Stock &amp; W Capital'!$D$15))*$C$143*E$124</f>
        <v>0</v>
      </c>
      <c r="F143" s="77">
        <f>((E75*(1-'5.Closing Stock &amp; W Capital'!$D$15))+(D75*'5.Closing Stock &amp; W Capital'!$D$15))*$C$143*F$124</f>
        <v>0</v>
      </c>
      <c r="G143" s="77">
        <f>((F75*(1-'5.Closing Stock &amp; W Capital'!$D$15))+(E75*'5.Closing Stock &amp; W Capital'!$D$15))*$C$143*G$124</f>
        <v>0</v>
      </c>
      <c r="H143" s="77">
        <f>((G75*(1-'5.Closing Stock &amp; W Capital'!$D$15))+(F75*'5.Closing Stock &amp; W Capital'!$D$15))*$C$143*H$124</f>
        <v>0</v>
      </c>
      <c r="I143" s="77">
        <f>((H75*(1-'5.Closing Stock &amp; W Capital'!$D$15))+(G75*'5.Closing Stock &amp; W Capital'!$D$15))*$C$143*I$124</f>
        <v>0</v>
      </c>
      <c r="J143" s="77">
        <f>((I75*(1-'5.Closing Stock &amp; W Capital'!$D$15))+(H75*'5.Closing Stock &amp; W Capital'!$D$15))*$C$143*J$124</f>
        <v>0</v>
      </c>
      <c r="K143" s="75"/>
      <c r="U143" s="75"/>
      <c r="V143" s="75"/>
      <c r="W143" s="75"/>
    </row>
    <row r="144" spans="1:23">
      <c r="A144" s="424">
        <f t="shared" si="52"/>
        <v>0</v>
      </c>
      <c r="B144" s="76"/>
      <c r="C144" s="202"/>
      <c r="D144" s="77">
        <f>(C76*(1-'5.Closing Stock &amp; W Capital'!$D$15))*$C$144*D$124</f>
        <v>0</v>
      </c>
      <c r="E144" s="77">
        <f>((D76*(1-'5.Closing Stock &amp; W Capital'!$D$15))+(C76*'5.Closing Stock &amp; W Capital'!$D$15))*$C$144*E$124</f>
        <v>0</v>
      </c>
      <c r="F144" s="77">
        <f>((E76*(1-'5.Closing Stock &amp; W Capital'!$D$15))+(D76*'5.Closing Stock &amp; W Capital'!$D$15))*$C$144*F$124</f>
        <v>0</v>
      </c>
      <c r="G144" s="77">
        <f>((F76*(1-'5.Closing Stock &amp; W Capital'!$D$15))+(E76*'5.Closing Stock &amp; W Capital'!$D$15))*$C$144*G$124</f>
        <v>0</v>
      </c>
      <c r="H144" s="77">
        <f>((G76*(1-'5.Closing Stock &amp; W Capital'!$D$15))+(F76*'5.Closing Stock &amp; W Capital'!$D$15))*$C$144*H$124</f>
        <v>0</v>
      </c>
      <c r="I144" s="77">
        <f>((H76*(1-'5.Closing Stock &amp; W Capital'!$D$15))+(G76*'5.Closing Stock &amp; W Capital'!$D$15))*$C$144*I$124</f>
        <v>0</v>
      </c>
      <c r="J144" s="77">
        <f>((I76*(1-'5.Closing Stock &amp; W Capital'!$D$15))+(H76*'5.Closing Stock &amp; W Capital'!$D$15))*$C$144*J$124</f>
        <v>0</v>
      </c>
      <c r="K144" s="75"/>
      <c r="U144" s="75"/>
      <c r="V144" s="75"/>
      <c r="W144" s="75"/>
    </row>
    <row r="145" spans="1:23">
      <c r="A145" s="424">
        <f t="shared" si="52"/>
        <v>0</v>
      </c>
      <c r="B145" s="76"/>
      <c r="C145" s="202"/>
      <c r="D145" s="77">
        <f>(C77*(1-'5.Closing Stock &amp; W Capital'!$D$15))*$C$145*D$124</f>
        <v>0</v>
      </c>
      <c r="E145" s="77">
        <f>((D77*(1-'5.Closing Stock &amp; W Capital'!$D$15))+(C77*'5.Closing Stock &amp; W Capital'!$D$15))*$C$145*E$124</f>
        <v>0</v>
      </c>
      <c r="F145" s="77">
        <f>((E77*(1-'5.Closing Stock &amp; W Capital'!$D$15))+(D77*'5.Closing Stock &amp; W Capital'!$D$15))*$C$145*F$124</f>
        <v>0</v>
      </c>
      <c r="G145" s="77">
        <f>((F77*(1-'5.Closing Stock &amp; W Capital'!$D$15))+(E77*'5.Closing Stock &amp; W Capital'!$D$15))*$C$145*G$124</f>
        <v>0</v>
      </c>
      <c r="H145" s="77">
        <f>((G77*(1-'5.Closing Stock &amp; W Capital'!$D$15))+(F77*'5.Closing Stock &amp; W Capital'!$D$15))*$C$145*H$124</f>
        <v>0</v>
      </c>
      <c r="I145" s="77">
        <f>((H77*(1-'5.Closing Stock &amp; W Capital'!$D$15))+(G77*'5.Closing Stock &amp; W Capital'!$D$15))*$C$145*I$124</f>
        <v>0</v>
      </c>
      <c r="J145" s="77">
        <f>((I77*(1-'5.Closing Stock &amp; W Capital'!$D$15))+(H77*'5.Closing Stock &amp; W Capital'!$D$15))*$C$145*J$124</f>
        <v>0</v>
      </c>
      <c r="K145" s="75"/>
      <c r="U145" s="75"/>
      <c r="V145" s="75"/>
      <c r="W145" s="75"/>
    </row>
    <row r="146" spans="1:23">
      <c r="A146" s="424">
        <f t="shared" si="52"/>
        <v>0</v>
      </c>
      <c r="B146" s="76"/>
      <c r="C146" s="202"/>
      <c r="D146" s="77">
        <f>(C78*(1-'5.Closing Stock &amp; W Capital'!$D$15))*$C$146*D$124</f>
        <v>0</v>
      </c>
      <c r="E146" s="77">
        <f>((D78*(1-'5.Closing Stock &amp; W Capital'!$D$15))+(C78*'5.Closing Stock &amp; W Capital'!$D$15))*$C$146*E$124</f>
        <v>0</v>
      </c>
      <c r="F146" s="77">
        <f>((E78*(1-'5.Closing Stock &amp; W Capital'!$D$15))+(D78*'5.Closing Stock &amp; W Capital'!$D$15))*$C$146*F$124</f>
        <v>0</v>
      </c>
      <c r="G146" s="77">
        <f>((F78*(1-'5.Closing Stock &amp; W Capital'!$D$15))+(E78*'5.Closing Stock &amp; W Capital'!$D$15))*$C$146*G$124</f>
        <v>0</v>
      </c>
      <c r="H146" s="77">
        <f>((G78*(1-'5.Closing Stock &amp; W Capital'!$D$15))+(F78*'5.Closing Stock &amp; W Capital'!$D$15))*$C$146*H$124</f>
        <v>0</v>
      </c>
      <c r="I146" s="77">
        <f>((H78*(1-'5.Closing Stock &amp; W Capital'!$D$15))+(G78*'5.Closing Stock &amp; W Capital'!$D$15))*$C$146*I$124</f>
        <v>0</v>
      </c>
      <c r="J146" s="77">
        <f>((I78*(1-'5.Closing Stock &amp; W Capital'!$D$15))+(H78*'5.Closing Stock &amp; W Capital'!$D$15))*$C$146*J$124</f>
        <v>0</v>
      </c>
      <c r="K146" s="75"/>
      <c r="U146" s="75"/>
      <c r="V146" s="75"/>
      <c r="W146" s="75"/>
    </row>
    <row r="147" spans="1:23">
      <c r="A147" s="78" t="str">
        <f t="shared" si="52"/>
        <v>Summer</v>
      </c>
      <c r="B147" s="76"/>
      <c r="C147" s="202"/>
      <c r="D147" s="77"/>
      <c r="E147" s="77"/>
      <c r="F147" s="77"/>
      <c r="G147" s="77"/>
      <c r="H147" s="77"/>
      <c r="I147" s="77"/>
      <c r="J147" s="77"/>
      <c r="K147" s="75"/>
      <c r="U147" s="75"/>
      <c r="V147" s="75"/>
      <c r="W147" s="75"/>
    </row>
    <row r="148" spans="1:23">
      <c r="A148" s="76" t="str">
        <f t="shared" si="52"/>
        <v>Maize (Summer)</v>
      </c>
      <c r="B148" s="76"/>
      <c r="C148" s="202"/>
      <c r="D148" s="77">
        <f>(C80*(1-'5.Closing Stock &amp; W Capital'!$D$15))*$C$148*D$124</f>
        <v>0</v>
      </c>
      <c r="E148" s="77">
        <f>((D80*(1-'5.Closing Stock &amp; W Capital'!$D$15))+(C80*'5.Closing Stock &amp; W Capital'!$D$15))*$C$148*E$124</f>
        <v>0</v>
      </c>
      <c r="F148" s="77">
        <f>((E80*(1-'5.Closing Stock &amp; W Capital'!$D$15))+(D80*'5.Closing Stock &amp; W Capital'!$D$15))*$C$148*F$124</f>
        <v>0</v>
      </c>
      <c r="G148" s="77">
        <f>((F80*(1-'5.Closing Stock &amp; W Capital'!$D$15))+(E80*'5.Closing Stock &amp; W Capital'!$D$15))*$C$148*G$124</f>
        <v>0</v>
      </c>
      <c r="H148" s="77">
        <f>((G80*(1-'5.Closing Stock &amp; W Capital'!$D$15))+(F80*'5.Closing Stock &amp; W Capital'!$D$15))*$C$148*H$124</f>
        <v>0</v>
      </c>
      <c r="I148" s="77">
        <f>((H80*(1-'5.Closing Stock &amp; W Capital'!$D$15))+(G80*'5.Closing Stock &amp; W Capital'!$D$15))*$C$148*I$124</f>
        <v>0</v>
      </c>
      <c r="J148" s="77">
        <f>((I80*(1-'5.Closing Stock &amp; W Capital'!$D$15))+(H80*'5.Closing Stock &amp; W Capital'!$D$15))*$C$148*J$124</f>
        <v>0</v>
      </c>
      <c r="K148" s="75"/>
      <c r="U148" s="75"/>
      <c r="V148" s="75"/>
      <c r="W148" s="75"/>
    </row>
    <row r="149" spans="1:23">
      <c r="A149" s="424" t="str">
        <f t="shared" si="52"/>
        <v>Jawar (Summer)</v>
      </c>
      <c r="B149" s="76"/>
      <c r="C149" s="202"/>
      <c r="D149" s="77">
        <f>(C81*(1-'5.Closing Stock &amp; W Capital'!$D$15))*$C$149*D$124</f>
        <v>0</v>
      </c>
      <c r="E149" s="77">
        <f>((D81*(1-'5.Closing Stock &amp; W Capital'!$D$15))+(C81*'5.Closing Stock &amp; W Capital'!$D$15))*$C$149*E$124</f>
        <v>0</v>
      </c>
      <c r="F149" s="77">
        <f>((E81*(1-'5.Closing Stock &amp; W Capital'!$D$15))+(D81*'5.Closing Stock &amp; W Capital'!$D$15))*$C$149*F$124</f>
        <v>0</v>
      </c>
      <c r="G149" s="77">
        <f>((F81*(1-'5.Closing Stock &amp; W Capital'!$D$15))+(E81*'5.Closing Stock &amp; W Capital'!$D$15))*$C$149*G$124</f>
        <v>0</v>
      </c>
      <c r="H149" s="77">
        <f>((G81*(1-'5.Closing Stock &amp; W Capital'!$D$15))+(F81*'5.Closing Stock &amp; W Capital'!$D$15))*$C$149*H$124</f>
        <v>0</v>
      </c>
      <c r="I149" s="77">
        <f>((H81*(1-'5.Closing Stock &amp; W Capital'!$D$15))+(G81*'5.Closing Stock &amp; W Capital'!$D$15))*$C$149*I$124</f>
        <v>0</v>
      </c>
      <c r="J149" s="77">
        <f>((I81*(1-'5.Closing Stock &amp; W Capital'!$D$15))+(H81*'5.Closing Stock &amp; W Capital'!$D$15))*$C$149*J$124</f>
        <v>0</v>
      </c>
      <c r="K149" s="75"/>
      <c r="U149" s="75"/>
      <c r="V149" s="75"/>
      <c r="W149" s="75"/>
    </row>
    <row r="150" spans="1:23">
      <c r="A150" s="424">
        <f t="shared" si="52"/>
        <v>0</v>
      </c>
      <c r="B150" s="76"/>
      <c r="C150" s="202"/>
      <c r="D150" s="77">
        <f>(C82*(1-'5.Closing Stock &amp; W Capital'!$D$15))*$C$150*D$124</f>
        <v>0</v>
      </c>
      <c r="E150" s="77">
        <f>((D82*(1-'5.Closing Stock &amp; W Capital'!$D$15))+(C82*'5.Closing Stock &amp; W Capital'!$D$15))*$C$150*E$124</f>
        <v>0</v>
      </c>
      <c r="F150" s="77">
        <f>((E82*(1-'5.Closing Stock &amp; W Capital'!$D$15))+(D82*'5.Closing Stock &amp; W Capital'!$D$15))*$C$150*F$124</f>
        <v>0</v>
      </c>
      <c r="G150" s="77">
        <f>((F82*(1-'5.Closing Stock &amp; W Capital'!$D$15))+(E82*'5.Closing Stock &amp; W Capital'!$D$15))*$C$150*G$124</f>
        <v>0</v>
      </c>
      <c r="H150" s="77">
        <f>((G82*(1-'5.Closing Stock &amp; W Capital'!$D$15))+(F82*'5.Closing Stock &amp; W Capital'!$D$15))*$C$150*H$124</f>
        <v>0</v>
      </c>
      <c r="I150" s="77">
        <f>((H82*(1-'5.Closing Stock &amp; W Capital'!$D$15))+(G82*'5.Closing Stock &amp; W Capital'!$D$15))*$C$150*I$124</f>
        <v>0</v>
      </c>
      <c r="J150" s="77">
        <f>((I82*(1-'5.Closing Stock &amp; W Capital'!$D$15))+(H82*'5.Closing Stock &amp; W Capital'!$D$15))*$C$150*J$124</f>
        <v>0</v>
      </c>
      <c r="K150" s="75"/>
      <c r="U150" s="75"/>
      <c r="V150" s="75"/>
      <c r="W150" s="75"/>
    </row>
    <row r="151" spans="1:23">
      <c r="A151" s="424">
        <f t="shared" si="52"/>
        <v>0</v>
      </c>
      <c r="B151" s="76"/>
      <c r="C151" s="202"/>
      <c r="D151" s="77">
        <f>(C83*(1-'5.Closing Stock &amp; W Capital'!$D$15))*$C$151*D$124</f>
        <v>0</v>
      </c>
      <c r="E151" s="77">
        <f>((D83*(1-'5.Closing Stock &amp; W Capital'!$D$15))+(C83*'5.Closing Stock &amp; W Capital'!$D$15))*$C$151*E$124</f>
        <v>0</v>
      </c>
      <c r="F151" s="77">
        <f>((E83*(1-'5.Closing Stock &amp; W Capital'!$D$15))+(D83*'5.Closing Stock &amp; W Capital'!$D$15))*$C$151*F$124</f>
        <v>0</v>
      </c>
      <c r="G151" s="77">
        <f>((F83*(1-'5.Closing Stock &amp; W Capital'!$D$15))+(E83*'5.Closing Stock &amp; W Capital'!$D$15))*$C$151*G$124</f>
        <v>0</v>
      </c>
      <c r="H151" s="77">
        <f>((G83*(1-'5.Closing Stock &amp; W Capital'!$D$15))+(F83*'5.Closing Stock &amp; W Capital'!$D$15))*$C$151*H$124</f>
        <v>0</v>
      </c>
      <c r="I151" s="77">
        <f>((H83*(1-'5.Closing Stock &amp; W Capital'!$D$15))+(G83*'5.Closing Stock &amp; W Capital'!$D$15))*$C$151*I$124</f>
        <v>0</v>
      </c>
      <c r="J151" s="77">
        <f>((I83*(1-'5.Closing Stock &amp; W Capital'!$D$15))+(H83*'5.Closing Stock &amp; W Capital'!$D$15))*$C$151*J$124</f>
        <v>0</v>
      </c>
      <c r="K151" s="75"/>
      <c r="U151" s="75"/>
      <c r="V151" s="75"/>
      <c r="W151" s="75"/>
    </row>
    <row r="152" spans="1:23">
      <c r="A152" s="424">
        <f t="shared" si="52"/>
        <v>0</v>
      </c>
      <c r="B152" s="76"/>
      <c r="C152" s="202"/>
      <c r="D152" s="77">
        <f>(C84*(1-'5.Closing Stock &amp; W Capital'!$D$15))*$C$152*D$124</f>
        <v>0</v>
      </c>
      <c r="E152" s="77">
        <f>((D84*(1-'5.Closing Stock &amp; W Capital'!$D$15))+(C84*'5.Closing Stock &amp; W Capital'!$D$15))*$C$152*E$124</f>
        <v>0</v>
      </c>
      <c r="F152" s="77">
        <f>((E84*(1-'5.Closing Stock &amp; W Capital'!$D$15))+(D84*'5.Closing Stock &amp; W Capital'!$D$15))*$C$152*F$124</f>
        <v>0</v>
      </c>
      <c r="G152" s="77">
        <f>((F84*(1-'5.Closing Stock &amp; W Capital'!$D$15))+(E84*'5.Closing Stock &amp; W Capital'!$D$15))*$C$152*G$124</f>
        <v>0</v>
      </c>
      <c r="H152" s="77">
        <f>((G84*(1-'5.Closing Stock &amp; W Capital'!$D$15))+(F84*'5.Closing Stock &amp; W Capital'!$D$15))*$C$152*H$124</f>
        <v>0</v>
      </c>
      <c r="I152" s="77">
        <f>((H84*(1-'5.Closing Stock &amp; W Capital'!$D$15))+(G84*'5.Closing Stock &amp; W Capital'!$D$15))*$C$152*I$124</f>
        <v>0</v>
      </c>
      <c r="J152" s="77">
        <f>((I84*(1-'5.Closing Stock &amp; W Capital'!$D$15))+(H84*'5.Closing Stock &amp; W Capital'!$D$15))*$C$152*J$124</f>
        <v>0</v>
      </c>
      <c r="K152" s="75"/>
      <c r="U152" s="75"/>
      <c r="V152" s="75"/>
      <c r="W152" s="75"/>
    </row>
    <row r="153" spans="1:23">
      <c r="A153" s="76" t="str">
        <f t="shared" si="52"/>
        <v>Fruit  &amp; Vegetables Crop Production Details</v>
      </c>
      <c r="B153" s="76"/>
      <c r="C153" s="202"/>
      <c r="D153" s="77"/>
      <c r="E153" s="77"/>
      <c r="F153" s="77"/>
      <c r="G153" s="77"/>
      <c r="H153" s="77"/>
      <c r="I153" s="77"/>
      <c r="J153" s="77"/>
      <c r="K153" s="75"/>
      <c r="U153" s="75"/>
      <c r="V153" s="75"/>
      <c r="W153" s="75"/>
    </row>
    <row r="154" spans="1:23">
      <c r="A154" s="76" t="str">
        <f t="shared" si="52"/>
        <v>Onion</v>
      </c>
      <c r="B154" s="76"/>
      <c r="C154" s="202"/>
      <c r="D154" s="77">
        <f>(C86*(1-'5.Closing Stock &amp; W Capital'!$D$15))*$C154*D$124</f>
        <v>0</v>
      </c>
      <c r="E154" s="77">
        <f>((D86*(1-'5.Closing Stock &amp; W Capital'!$D$15))+(C86*'5.Closing Stock &amp; W Capital'!$D$15))*$C154*E$124</f>
        <v>0</v>
      </c>
      <c r="F154" s="77">
        <f>((E86*(1-'5.Closing Stock &amp; W Capital'!$D$15))+(D86*'5.Closing Stock &amp; W Capital'!$D$15))*$C154*F$124</f>
        <v>0</v>
      </c>
      <c r="G154" s="77">
        <f>((F86*(1-'5.Closing Stock &amp; W Capital'!$D$15))+(E86*'5.Closing Stock &amp; W Capital'!$D$15))*$C154*G$124</f>
        <v>0</v>
      </c>
      <c r="H154" s="77">
        <f>((G86*(1-'5.Closing Stock &amp; W Capital'!$D$15))+(F86*'5.Closing Stock &amp; W Capital'!$D$15))*$C154*H$124</f>
        <v>0</v>
      </c>
      <c r="I154" s="77">
        <f>((H86*(1-'5.Closing Stock &amp; W Capital'!$D$15))+(G86*'5.Closing Stock &amp; W Capital'!$D$15))*$C154*I$124</f>
        <v>0</v>
      </c>
      <c r="J154" s="77">
        <f>((I86*(1-'5.Closing Stock &amp; W Capital'!$D$15))+(H86*'5.Closing Stock &amp; W Capital'!$D$15))*$C154*J$124</f>
        <v>0</v>
      </c>
      <c r="K154" s="75"/>
      <c r="U154" s="75"/>
      <c r="V154" s="75"/>
      <c r="W154" s="75"/>
    </row>
    <row r="155" spans="1:23">
      <c r="A155" s="76" t="str">
        <f t="shared" si="52"/>
        <v>Tomato</v>
      </c>
      <c r="B155" s="76"/>
      <c r="C155" s="202"/>
      <c r="D155" s="77">
        <f>(C87*(1-'5.Closing Stock &amp; W Capital'!$D$15))*$C155*D$124</f>
        <v>0</v>
      </c>
      <c r="E155" s="77">
        <f>((D87*(1-'5.Closing Stock &amp; W Capital'!$D$15))+(C87*'5.Closing Stock &amp; W Capital'!$D$15))*$C155*E$124</f>
        <v>0</v>
      </c>
      <c r="F155" s="77">
        <f>((E87*(1-'5.Closing Stock &amp; W Capital'!$D$15))+(D87*'5.Closing Stock &amp; W Capital'!$D$15))*$C155*F$124</f>
        <v>0</v>
      </c>
      <c r="G155" s="77">
        <f>((F87*(1-'5.Closing Stock &amp; W Capital'!$D$15))+(E87*'5.Closing Stock &amp; W Capital'!$D$15))*$C155*G$124</f>
        <v>0</v>
      </c>
      <c r="H155" s="77">
        <f>((G87*(1-'5.Closing Stock &amp; W Capital'!$D$15))+(F87*'5.Closing Stock &amp; W Capital'!$D$15))*$C155*H$124</f>
        <v>0</v>
      </c>
      <c r="I155" s="77">
        <f>((H87*(1-'5.Closing Stock &amp; W Capital'!$D$15))+(G87*'5.Closing Stock &amp; W Capital'!$D$15))*$C155*I$124</f>
        <v>0</v>
      </c>
      <c r="J155" s="77">
        <f>((I87*(1-'5.Closing Stock &amp; W Capital'!$D$15))+(H87*'5.Closing Stock &amp; W Capital'!$D$15))*$C155*J$124</f>
        <v>0</v>
      </c>
      <c r="K155" s="75"/>
      <c r="U155" s="75"/>
      <c r="V155" s="75"/>
      <c r="W155" s="75"/>
    </row>
    <row r="156" spans="1:23">
      <c r="A156" s="76" t="str">
        <f t="shared" si="52"/>
        <v>Okra</v>
      </c>
      <c r="B156" s="76"/>
      <c r="C156" s="202"/>
      <c r="D156" s="77">
        <f>(C88*(1-'5.Closing Stock &amp; W Capital'!$D$15))*$C156*D$124</f>
        <v>0</v>
      </c>
      <c r="E156" s="77">
        <f>((D88*(1-'5.Closing Stock &amp; W Capital'!$D$15))+(C88*'5.Closing Stock &amp; W Capital'!$D$15))*$C156*E$124</f>
        <v>0</v>
      </c>
      <c r="F156" s="77">
        <f>((E88*(1-'5.Closing Stock &amp; W Capital'!$D$15))+(D88*'5.Closing Stock &amp; W Capital'!$D$15))*$C156*F$124</f>
        <v>0</v>
      </c>
      <c r="G156" s="77">
        <f>((F88*(1-'5.Closing Stock &amp; W Capital'!$D$15))+(E88*'5.Closing Stock &amp; W Capital'!$D$15))*$C156*G$124</f>
        <v>0</v>
      </c>
      <c r="H156" s="77">
        <f>((G88*(1-'5.Closing Stock &amp; W Capital'!$D$15))+(F88*'5.Closing Stock &amp; W Capital'!$D$15))*$C156*H$124</f>
        <v>0</v>
      </c>
      <c r="I156" s="77">
        <f>((H88*(1-'5.Closing Stock &amp; W Capital'!$D$15))+(G88*'5.Closing Stock &amp; W Capital'!$D$15))*$C156*I$124</f>
        <v>0</v>
      </c>
      <c r="J156" s="77">
        <f>((I88*(1-'5.Closing Stock &amp; W Capital'!$D$15))+(H88*'5.Closing Stock &amp; W Capital'!$D$15))*$C156*J$124</f>
        <v>0</v>
      </c>
      <c r="K156" s="75"/>
      <c r="U156" s="75"/>
      <c r="V156" s="75"/>
      <c r="W156" s="75"/>
    </row>
    <row r="157" spans="1:23">
      <c r="A157" s="76" t="str">
        <f t="shared" si="52"/>
        <v>Chilli</v>
      </c>
      <c r="B157" s="76"/>
      <c r="C157" s="202"/>
      <c r="D157" s="77">
        <f>(C89*(1-'5.Closing Stock &amp; W Capital'!$D$15))*$C157*D$124</f>
        <v>0</v>
      </c>
      <c r="E157" s="77">
        <f>((D89*(1-'5.Closing Stock &amp; W Capital'!$D$15))+(C89*'5.Closing Stock &amp; W Capital'!$D$15))*$C157*E$124</f>
        <v>0</v>
      </c>
      <c r="F157" s="77">
        <f>((E89*(1-'5.Closing Stock &amp; W Capital'!$D$15))+(D89*'5.Closing Stock &amp; W Capital'!$D$15))*$C157*F$124</f>
        <v>0</v>
      </c>
      <c r="G157" s="77">
        <f>((F89*(1-'5.Closing Stock &amp; W Capital'!$D$15))+(E89*'5.Closing Stock &amp; W Capital'!$D$15))*$C157*G$124</f>
        <v>0</v>
      </c>
      <c r="H157" s="77">
        <f>((G89*(1-'5.Closing Stock &amp; W Capital'!$D$15))+(F89*'5.Closing Stock &amp; W Capital'!$D$15))*$C157*H$124</f>
        <v>0</v>
      </c>
      <c r="I157" s="77">
        <f>((H89*(1-'5.Closing Stock &amp; W Capital'!$D$15))+(G89*'5.Closing Stock &amp; W Capital'!$D$15))*$C157*I$124</f>
        <v>0</v>
      </c>
      <c r="J157" s="77">
        <f>((I89*(1-'5.Closing Stock &amp; W Capital'!$D$15))+(H89*'5.Closing Stock &amp; W Capital'!$D$15))*$C157*J$124</f>
        <v>0</v>
      </c>
      <c r="K157" s="75"/>
      <c r="U157" s="75"/>
      <c r="V157" s="75"/>
      <c r="W157" s="75"/>
    </row>
    <row r="158" spans="1:23">
      <c r="A158" s="76" t="str">
        <f t="shared" si="52"/>
        <v>Potato</v>
      </c>
      <c r="B158" s="76"/>
      <c r="C158" s="202"/>
      <c r="D158" s="77">
        <f>(C90*(1-'5.Closing Stock &amp; W Capital'!$D$15))*$C158*D$124</f>
        <v>0</v>
      </c>
      <c r="E158" s="77">
        <f>((D90*(1-'5.Closing Stock &amp; W Capital'!$D$15))+(C90*'5.Closing Stock &amp; W Capital'!$D$15))*$C158*E$124</f>
        <v>0</v>
      </c>
      <c r="F158" s="77">
        <f>((E90*(1-'5.Closing Stock &amp; W Capital'!$D$15))+(D90*'5.Closing Stock &amp; W Capital'!$D$15))*$C158*F$124</f>
        <v>0</v>
      </c>
      <c r="G158" s="77">
        <f>((F90*(1-'5.Closing Stock &amp; W Capital'!$D$15))+(E90*'5.Closing Stock &amp; W Capital'!$D$15))*$C158*G$124</f>
        <v>0</v>
      </c>
      <c r="H158" s="77">
        <f>((G90*(1-'5.Closing Stock &amp; W Capital'!$D$15))+(F90*'5.Closing Stock &amp; W Capital'!$D$15))*$C158*H$124</f>
        <v>0</v>
      </c>
      <c r="I158" s="77">
        <f>((H90*(1-'5.Closing Stock &amp; W Capital'!$D$15))+(G90*'5.Closing Stock &amp; W Capital'!$D$15))*$C158*I$124</f>
        <v>0</v>
      </c>
      <c r="J158" s="77">
        <f>((I90*(1-'5.Closing Stock &amp; W Capital'!$D$15))+(H90*'5.Closing Stock &amp; W Capital'!$D$15))*$C158*J$124</f>
        <v>0</v>
      </c>
      <c r="K158" s="75"/>
      <c r="U158" s="75"/>
      <c r="V158" s="75"/>
      <c r="W158" s="75"/>
    </row>
    <row r="159" spans="1:23">
      <c r="A159" s="424">
        <f t="shared" si="52"/>
        <v>0</v>
      </c>
      <c r="B159" s="76"/>
      <c r="C159" s="202"/>
      <c r="D159" s="77">
        <f>(C91*(1-'5.Closing Stock &amp; W Capital'!$D$15))*$C159*D$124</f>
        <v>0</v>
      </c>
      <c r="E159" s="77">
        <f>((D91*(1-'5.Closing Stock &amp; W Capital'!$D$15))+(C91*'5.Closing Stock &amp; W Capital'!$D$15))*$C159*E$124</f>
        <v>0</v>
      </c>
      <c r="F159" s="77">
        <f>((E91*(1-'5.Closing Stock &amp; W Capital'!$D$15))+(D91*'5.Closing Stock &amp; W Capital'!$D$15))*$C159*F$124</f>
        <v>0</v>
      </c>
      <c r="G159" s="77">
        <f>((F91*(1-'5.Closing Stock &amp; W Capital'!$D$15))+(E91*'5.Closing Stock &amp; W Capital'!$D$15))*$C159*G$124</f>
        <v>0</v>
      </c>
      <c r="H159" s="77">
        <f>((G91*(1-'5.Closing Stock &amp; W Capital'!$D$15))+(F91*'5.Closing Stock &amp; W Capital'!$D$15))*$C159*H$124</f>
        <v>0</v>
      </c>
      <c r="I159" s="77">
        <f>((H91*(1-'5.Closing Stock &amp; W Capital'!$D$15))+(G91*'5.Closing Stock &amp; W Capital'!$D$15))*$C159*I$124</f>
        <v>0</v>
      </c>
      <c r="J159" s="77">
        <f>((I91*(1-'5.Closing Stock &amp; W Capital'!$D$15))+(H91*'5.Closing Stock &amp; W Capital'!$D$15))*$C159*J$124</f>
        <v>0</v>
      </c>
      <c r="K159" s="75"/>
      <c r="U159" s="75"/>
      <c r="V159" s="75"/>
      <c r="W159" s="75"/>
    </row>
    <row r="160" spans="1:23">
      <c r="A160" s="424">
        <f t="shared" si="52"/>
        <v>0</v>
      </c>
      <c r="B160" s="76"/>
      <c r="C160" s="202"/>
      <c r="D160" s="77">
        <f>(C92*(1-'5.Closing Stock &amp; W Capital'!$D$15))*$C160*D$124</f>
        <v>0</v>
      </c>
      <c r="E160" s="77">
        <f>((D92*(1-'5.Closing Stock &amp; W Capital'!$D$15))+(C92*'5.Closing Stock &amp; W Capital'!$D$15))*$C160*E$124</f>
        <v>0</v>
      </c>
      <c r="F160" s="77">
        <f>((E92*(1-'5.Closing Stock &amp; W Capital'!$D$15))+(D92*'5.Closing Stock &amp; W Capital'!$D$15))*$C160*F$124</f>
        <v>0</v>
      </c>
      <c r="G160" s="77">
        <f>((F92*(1-'5.Closing Stock &amp; W Capital'!$D$15))+(E92*'5.Closing Stock &amp; W Capital'!$D$15))*$C160*G$124</f>
        <v>0</v>
      </c>
      <c r="H160" s="77">
        <f>((G92*(1-'5.Closing Stock &amp; W Capital'!$D$15))+(F92*'5.Closing Stock &amp; W Capital'!$D$15))*$C160*H$124</f>
        <v>0</v>
      </c>
      <c r="I160" s="77">
        <f>((H92*(1-'5.Closing Stock &amp; W Capital'!$D$15))+(G92*'5.Closing Stock &amp; W Capital'!$D$15))*$C160*I$124</f>
        <v>0</v>
      </c>
      <c r="J160" s="77">
        <f>((I92*(1-'5.Closing Stock &amp; W Capital'!$D$15))+(H92*'5.Closing Stock &amp; W Capital'!$D$15))*$C160*J$124</f>
        <v>0</v>
      </c>
      <c r="K160" s="75"/>
      <c r="U160" s="75"/>
      <c r="V160" s="75"/>
      <c r="W160" s="75"/>
    </row>
    <row r="161" spans="1:23">
      <c r="A161" s="424">
        <f t="shared" ref="A161:A179" si="53">A40</f>
        <v>0</v>
      </c>
      <c r="B161" s="76"/>
      <c r="C161" s="202"/>
      <c r="D161" s="77">
        <f>(C93*(1-'5.Closing Stock &amp; W Capital'!$D$15))*$C161*D$124</f>
        <v>0</v>
      </c>
      <c r="E161" s="77">
        <f>((D93*(1-'5.Closing Stock &amp; W Capital'!$D$15))+(C93*'5.Closing Stock &amp; W Capital'!$D$15))*$C161*E$124</f>
        <v>0</v>
      </c>
      <c r="F161" s="77">
        <f>((E93*(1-'5.Closing Stock &amp; W Capital'!$D$15))+(D93*'5.Closing Stock &amp; W Capital'!$D$15))*$C161*F$124</f>
        <v>0</v>
      </c>
      <c r="G161" s="77">
        <f>((F93*(1-'5.Closing Stock &amp; W Capital'!$D$15))+(E93*'5.Closing Stock &amp; W Capital'!$D$15))*$C161*G$124</f>
        <v>0</v>
      </c>
      <c r="H161" s="77">
        <f>((G93*(1-'5.Closing Stock &amp; W Capital'!$D$15))+(F93*'5.Closing Stock &amp; W Capital'!$D$15))*$C161*H$124</f>
        <v>0</v>
      </c>
      <c r="I161" s="77">
        <f>((H93*(1-'5.Closing Stock &amp; W Capital'!$D$15))+(G93*'5.Closing Stock &amp; W Capital'!$D$15))*$C161*I$124</f>
        <v>0</v>
      </c>
      <c r="J161" s="77">
        <f>((I93*(1-'5.Closing Stock &amp; W Capital'!$D$15))+(H93*'5.Closing Stock &amp; W Capital'!$D$15))*$C161*J$124</f>
        <v>0</v>
      </c>
      <c r="K161" s="75"/>
      <c r="U161" s="75"/>
      <c r="V161" s="75"/>
      <c r="W161" s="75"/>
    </row>
    <row r="162" spans="1:23">
      <c r="A162" s="424">
        <f t="shared" si="53"/>
        <v>0</v>
      </c>
      <c r="B162" s="76"/>
      <c r="C162" s="202"/>
      <c r="D162" s="77">
        <f>(C94*(1-'5.Closing Stock &amp; W Capital'!$D$15))*$C162*D$124</f>
        <v>0</v>
      </c>
      <c r="E162" s="77">
        <f>((D94*(1-'5.Closing Stock &amp; W Capital'!$D$15))+(C94*'5.Closing Stock &amp; W Capital'!$D$15))*$C162*E$124</f>
        <v>0</v>
      </c>
      <c r="F162" s="77">
        <f>((E94*(1-'5.Closing Stock &amp; W Capital'!$D$15))+(D94*'5.Closing Stock &amp; W Capital'!$D$15))*$C162*F$124</f>
        <v>0</v>
      </c>
      <c r="G162" s="77">
        <f>((F94*(1-'5.Closing Stock &amp; W Capital'!$D$15))+(E94*'5.Closing Stock &amp; W Capital'!$D$15))*$C162*G$124</f>
        <v>0</v>
      </c>
      <c r="H162" s="77">
        <f>((G94*(1-'5.Closing Stock &amp; W Capital'!$D$15))+(F94*'5.Closing Stock &amp; W Capital'!$D$15))*$C162*H$124</f>
        <v>0</v>
      </c>
      <c r="I162" s="77">
        <f>((H94*(1-'5.Closing Stock &amp; W Capital'!$D$15))+(G94*'5.Closing Stock &amp; W Capital'!$D$15))*$C162*I$124</f>
        <v>0</v>
      </c>
      <c r="J162" s="77">
        <f>((I94*(1-'5.Closing Stock &amp; W Capital'!$D$15))+(H94*'5.Closing Stock &amp; W Capital'!$D$15))*$C162*J$124</f>
        <v>0</v>
      </c>
      <c r="K162" s="75"/>
      <c r="U162" s="75"/>
      <c r="V162" s="75"/>
      <c r="W162" s="75"/>
    </row>
    <row r="163" spans="1:23">
      <c r="A163" s="76" t="str">
        <f t="shared" si="53"/>
        <v>Onion</v>
      </c>
      <c r="B163" s="76"/>
      <c r="C163" s="202"/>
      <c r="D163" s="77">
        <f>(C95*(1-'5.Closing Stock &amp; W Capital'!$D$15))*$C163*D$124</f>
        <v>0</v>
      </c>
      <c r="E163" s="77">
        <f>((D95*(1-'5.Closing Stock &amp; W Capital'!$D$15))+(C95*'5.Closing Stock &amp; W Capital'!$D$15))*$C163*E$124</f>
        <v>0</v>
      </c>
      <c r="F163" s="77">
        <f>((E95*(1-'5.Closing Stock &amp; W Capital'!$D$15))+(D95*'5.Closing Stock &amp; W Capital'!$D$15))*$C163*F$124</f>
        <v>0</v>
      </c>
      <c r="G163" s="77">
        <f>((F95*(1-'5.Closing Stock &amp; W Capital'!$D$15))+(E95*'5.Closing Stock &amp; W Capital'!$D$15))*$C163*G$124</f>
        <v>0</v>
      </c>
      <c r="H163" s="77">
        <f>((G95*(1-'5.Closing Stock &amp; W Capital'!$D$15))+(F95*'5.Closing Stock &amp; W Capital'!$D$15))*$C163*H$124</f>
        <v>0</v>
      </c>
      <c r="I163" s="77">
        <f>((H95*(1-'5.Closing Stock &amp; W Capital'!$D$15))+(G95*'5.Closing Stock &amp; W Capital'!$D$15))*$C163*I$124</f>
        <v>0</v>
      </c>
      <c r="J163" s="77">
        <f>((I95*(1-'5.Closing Stock &amp; W Capital'!$D$15))+(H95*'5.Closing Stock &amp; W Capital'!$D$15))*$C163*J$124</f>
        <v>0</v>
      </c>
      <c r="K163" s="75"/>
      <c r="U163" s="75"/>
      <c r="V163" s="75"/>
      <c r="W163" s="75"/>
    </row>
    <row r="164" spans="1:23">
      <c r="A164" s="76" t="str">
        <f t="shared" si="53"/>
        <v>Tomato</v>
      </c>
      <c r="B164" s="76"/>
      <c r="C164" s="202"/>
      <c r="D164" s="77">
        <f>(C96*(1-'5.Closing Stock &amp; W Capital'!$D$15))*$C164*D$124</f>
        <v>0</v>
      </c>
      <c r="E164" s="77">
        <f>((D96*(1-'5.Closing Stock &amp; W Capital'!$D$15))+(C96*'5.Closing Stock &amp; W Capital'!$D$15))*$C164*E$124</f>
        <v>0</v>
      </c>
      <c r="F164" s="77">
        <f>((E96*(1-'5.Closing Stock &amp; W Capital'!$D$15))+(D96*'5.Closing Stock &amp; W Capital'!$D$15))*$C164*F$124</f>
        <v>0</v>
      </c>
      <c r="G164" s="77">
        <f>((F96*(1-'5.Closing Stock &amp; W Capital'!$D$15))+(E96*'5.Closing Stock &amp; W Capital'!$D$15))*$C164*G$124</f>
        <v>0</v>
      </c>
      <c r="H164" s="77">
        <f>((G96*(1-'5.Closing Stock &amp; W Capital'!$D$15))+(F96*'5.Closing Stock &amp; W Capital'!$D$15))*$C164*H$124</f>
        <v>0</v>
      </c>
      <c r="I164" s="77">
        <f>((H96*(1-'5.Closing Stock &amp; W Capital'!$D$15))+(G96*'5.Closing Stock &amp; W Capital'!$D$15))*$C164*I$124</f>
        <v>0</v>
      </c>
      <c r="J164" s="77">
        <f>((I96*(1-'5.Closing Stock &amp; W Capital'!$D$15))+(H96*'5.Closing Stock &amp; W Capital'!$D$15))*$C164*J$124</f>
        <v>0</v>
      </c>
      <c r="K164" s="75"/>
      <c r="U164" s="75"/>
      <c r="V164" s="75"/>
      <c r="W164" s="75"/>
    </row>
    <row r="165" spans="1:23">
      <c r="A165" s="76" t="str">
        <f t="shared" si="53"/>
        <v>Okra</v>
      </c>
      <c r="B165" s="76"/>
      <c r="C165" s="202"/>
      <c r="D165" s="77">
        <f>(C97*(1-'5.Closing Stock &amp; W Capital'!$D$15))*$C165*D$124</f>
        <v>0</v>
      </c>
      <c r="E165" s="77">
        <f>((D97*(1-'5.Closing Stock &amp; W Capital'!$D$15))+(C97*'5.Closing Stock &amp; W Capital'!$D$15))*$C165*E$124</f>
        <v>0</v>
      </c>
      <c r="F165" s="77">
        <f>((E97*(1-'5.Closing Stock &amp; W Capital'!$D$15))+(D97*'5.Closing Stock &amp; W Capital'!$D$15))*$C165*F$124</f>
        <v>0</v>
      </c>
      <c r="G165" s="77">
        <f>((F97*(1-'5.Closing Stock &amp; W Capital'!$D$15))+(E97*'5.Closing Stock &amp; W Capital'!$D$15))*$C165*G$124</f>
        <v>0</v>
      </c>
      <c r="H165" s="77">
        <f>((G97*(1-'5.Closing Stock &amp; W Capital'!$D$15))+(F97*'5.Closing Stock &amp; W Capital'!$D$15))*$C165*H$124</f>
        <v>0</v>
      </c>
      <c r="I165" s="77">
        <f>((H97*(1-'5.Closing Stock &amp; W Capital'!$D$15))+(G97*'5.Closing Stock &amp; W Capital'!$D$15))*$C165*I$124</f>
        <v>0</v>
      </c>
      <c r="J165" s="77">
        <f>((I97*(1-'5.Closing Stock &amp; W Capital'!$D$15))+(H97*'5.Closing Stock &amp; W Capital'!$D$15))*$C165*J$124</f>
        <v>0</v>
      </c>
      <c r="K165" s="75"/>
      <c r="U165" s="75"/>
      <c r="V165" s="75"/>
      <c r="W165" s="75"/>
    </row>
    <row r="166" spans="1:23">
      <c r="A166" s="76" t="str">
        <f t="shared" si="53"/>
        <v>Chilli</v>
      </c>
      <c r="B166" s="76"/>
      <c r="C166" s="202"/>
      <c r="D166" s="77">
        <f>(C98*(1-'5.Closing Stock &amp; W Capital'!$D$15))*$C166*D$124</f>
        <v>0</v>
      </c>
      <c r="E166" s="77">
        <f>((D98*(1-'5.Closing Stock &amp; W Capital'!$D$15))+(C98*'5.Closing Stock &amp; W Capital'!$D$15))*$C166*E$124</f>
        <v>0</v>
      </c>
      <c r="F166" s="77">
        <f>((E98*(1-'5.Closing Stock &amp; W Capital'!$D$15))+(D98*'5.Closing Stock &amp; W Capital'!$D$15))*$C166*F$124</f>
        <v>0</v>
      </c>
      <c r="G166" s="77">
        <f>((F98*(1-'5.Closing Stock &amp; W Capital'!$D$15))+(E98*'5.Closing Stock &amp; W Capital'!$D$15))*$C166*G$124</f>
        <v>0</v>
      </c>
      <c r="H166" s="77">
        <f>((G98*(1-'5.Closing Stock &amp; W Capital'!$D$15))+(F98*'5.Closing Stock &amp; W Capital'!$D$15))*$C166*H$124</f>
        <v>0</v>
      </c>
      <c r="I166" s="77">
        <f>((H98*(1-'5.Closing Stock &amp; W Capital'!$D$15))+(G98*'5.Closing Stock &amp; W Capital'!$D$15))*$C166*I$124</f>
        <v>0</v>
      </c>
      <c r="J166" s="77">
        <f>((I98*(1-'5.Closing Stock &amp; W Capital'!$D$15))+(H98*'5.Closing Stock &amp; W Capital'!$D$15))*$C166*J$124</f>
        <v>0</v>
      </c>
      <c r="K166" s="75"/>
      <c r="U166" s="75"/>
      <c r="V166" s="75"/>
      <c r="W166" s="75"/>
    </row>
    <row r="167" spans="1:23">
      <c r="A167" s="76" t="str">
        <f t="shared" si="53"/>
        <v>Brinjal</v>
      </c>
      <c r="B167" s="76"/>
      <c r="C167" s="202"/>
      <c r="D167" s="77">
        <f>(C99*(1-'5.Closing Stock &amp; W Capital'!$D$15))*$C167*D$124</f>
        <v>0</v>
      </c>
      <c r="E167" s="77">
        <f>((D99*(1-'5.Closing Stock &amp; W Capital'!$D$15))+(C99*'5.Closing Stock &amp; W Capital'!$D$15))*$C167*E$124</f>
        <v>0</v>
      </c>
      <c r="F167" s="77">
        <f>((E99*(1-'5.Closing Stock &amp; W Capital'!$D$15))+(D99*'5.Closing Stock &amp; W Capital'!$D$15))*$C167*F$124</f>
        <v>0</v>
      </c>
      <c r="G167" s="77">
        <f>((F99*(1-'5.Closing Stock &amp; W Capital'!$D$15))+(E99*'5.Closing Stock &amp; W Capital'!$D$15))*$C167*G$124</f>
        <v>0</v>
      </c>
      <c r="H167" s="77">
        <f>((G99*(1-'5.Closing Stock &amp; W Capital'!$D$15))+(F99*'5.Closing Stock &amp; W Capital'!$D$15))*$C167*H$124</f>
        <v>0</v>
      </c>
      <c r="I167" s="77">
        <f>((H99*(1-'5.Closing Stock &amp; W Capital'!$D$15))+(G99*'5.Closing Stock &amp; W Capital'!$D$15))*$C167*I$124</f>
        <v>0</v>
      </c>
      <c r="J167" s="77">
        <f>((I99*(1-'5.Closing Stock &amp; W Capital'!$D$15))+(H99*'5.Closing Stock &amp; W Capital'!$D$15))*$C167*J$124</f>
        <v>0</v>
      </c>
      <c r="K167" s="75"/>
      <c r="U167" s="75"/>
      <c r="V167" s="75"/>
      <c r="W167" s="75"/>
    </row>
    <row r="168" spans="1:23">
      <c r="A168" s="424">
        <f t="shared" si="53"/>
        <v>0</v>
      </c>
      <c r="B168" s="76"/>
      <c r="C168" s="202"/>
      <c r="D168" s="77">
        <f>(C100*(1-'5.Closing Stock &amp; W Capital'!$D$15))*$C168*D$124</f>
        <v>0</v>
      </c>
      <c r="E168" s="77">
        <f>((D100*(1-'5.Closing Stock &amp; W Capital'!$D$15))+(C100*'5.Closing Stock &amp; W Capital'!$D$15))*$C168*E$124</f>
        <v>0</v>
      </c>
      <c r="F168" s="77">
        <f>((E100*(1-'5.Closing Stock &amp; W Capital'!$D$15))+(D100*'5.Closing Stock &amp; W Capital'!$D$15))*$C168*F$124</f>
        <v>0</v>
      </c>
      <c r="G168" s="77">
        <f>((F100*(1-'5.Closing Stock &amp; W Capital'!$D$15))+(E100*'5.Closing Stock &amp; W Capital'!$D$15))*$C168*G$124</f>
        <v>0</v>
      </c>
      <c r="H168" s="77">
        <f>((G100*(1-'5.Closing Stock &amp; W Capital'!$D$15))+(F100*'5.Closing Stock &amp; W Capital'!$D$15))*$C168*H$124</f>
        <v>0</v>
      </c>
      <c r="I168" s="77">
        <f>((H100*(1-'5.Closing Stock &amp; W Capital'!$D$15))+(G100*'5.Closing Stock &amp; W Capital'!$D$15))*$C168*I$124</f>
        <v>0</v>
      </c>
      <c r="J168" s="77">
        <f>((I100*(1-'5.Closing Stock &amp; W Capital'!$D$15))+(H100*'5.Closing Stock &amp; W Capital'!$D$15))*$C168*J$124</f>
        <v>0</v>
      </c>
      <c r="K168" s="75"/>
      <c r="U168" s="75"/>
      <c r="V168" s="75"/>
      <c r="W168" s="75"/>
    </row>
    <row r="169" spans="1:23">
      <c r="A169" s="424">
        <f t="shared" si="53"/>
        <v>0</v>
      </c>
      <c r="B169" s="76"/>
      <c r="C169" s="202"/>
      <c r="D169" s="77">
        <f>(C101*(1-'5.Closing Stock &amp; W Capital'!$D$15))*$C169*D$124</f>
        <v>0</v>
      </c>
      <c r="E169" s="77">
        <f>((D101*(1-'5.Closing Stock &amp; W Capital'!$D$15))+(C101*'5.Closing Stock &amp; W Capital'!$D$15))*$C169*E$124</f>
        <v>0</v>
      </c>
      <c r="F169" s="77">
        <f>((E101*(1-'5.Closing Stock &amp; W Capital'!$D$15))+(D101*'5.Closing Stock &amp; W Capital'!$D$15))*$C169*F$124</f>
        <v>0</v>
      </c>
      <c r="G169" s="77">
        <f>((F101*(1-'5.Closing Stock &amp; W Capital'!$D$15))+(E101*'5.Closing Stock &amp; W Capital'!$D$15))*$C169*G$124</f>
        <v>0</v>
      </c>
      <c r="H169" s="77">
        <f>((G101*(1-'5.Closing Stock &amp; W Capital'!$D$15))+(F101*'5.Closing Stock &amp; W Capital'!$D$15))*$C169*H$124</f>
        <v>0</v>
      </c>
      <c r="I169" s="77">
        <f>((H101*(1-'5.Closing Stock &amp; W Capital'!$D$15))+(G101*'5.Closing Stock &amp; W Capital'!$D$15))*$C169*I$124</f>
        <v>0</v>
      </c>
      <c r="J169" s="77">
        <f>((I101*(1-'5.Closing Stock &amp; W Capital'!$D$15))+(H101*'5.Closing Stock &amp; W Capital'!$D$15))*$C169*J$124</f>
        <v>0</v>
      </c>
      <c r="K169" s="75"/>
      <c r="U169" s="75"/>
      <c r="V169" s="75"/>
      <c r="W169" s="75"/>
    </row>
    <row r="170" spans="1:23">
      <c r="A170" s="424">
        <f t="shared" si="53"/>
        <v>0</v>
      </c>
      <c r="B170" s="76"/>
      <c r="C170" s="202"/>
      <c r="D170" s="77">
        <f>(C102*(1-'5.Closing Stock &amp; W Capital'!$D$15))*$C170*D$124</f>
        <v>0</v>
      </c>
      <c r="E170" s="77">
        <f>((D102*(1-'5.Closing Stock &amp; W Capital'!$D$15))+(C102*'5.Closing Stock &amp; W Capital'!$D$15))*$C170*E$124</f>
        <v>0</v>
      </c>
      <c r="F170" s="77">
        <f>((E102*(1-'5.Closing Stock &amp; W Capital'!$D$15))+(D102*'5.Closing Stock &amp; W Capital'!$D$15))*$C170*F$124</f>
        <v>0</v>
      </c>
      <c r="G170" s="77">
        <f>((F102*(1-'5.Closing Stock &amp; W Capital'!$D$15))+(E102*'5.Closing Stock &amp; W Capital'!$D$15))*$C170*G$124</f>
        <v>0</v>
      </c>
      <c r="H170" s="77">
        <f>((G102*(1-'5.Closing Stock &amp; W Capital'!$D$15))+(F102*'5.Closing Stock &amp; W Capital'!$D$15))*$C170*H$124</f>
        <v>0</v>
      </c>
      <c r="I170" s="77">
        <f>((H102*(1-'5.Closing Stock &amp; W Capital'!$D$15))+(G102*'5.Closing Stock &amp; W Capital'!$D$15))*$C170*I$124</f>
        <v>0</v>
      </c>
      <c r="J170" s="77">
        <f>((I102*(1-'5.Closing Stock &amp; W Capital'!$D$15))+(H102*'5.Closing Stock &amp; W Capital'!$D$15))*$C170*J$124</f>
        <v>0</v>
      </c>
      <c r="K170" s="75"/>
      <c r="U170" s="75"/>
      <c r="V170" s="75"/>
      <c r="W170" s="75"/>
    </row>
    <row r="171" spans="1:23">
      <c r="A171" s="424">
        <f t="shared" si="53"/>
        <v>0</v>
      </c>
      <c r="B171" s="76"/>
      <c r="C171" s="202"/>
      <c r="D171" s="77">
        <f>(C103*(1-'5.Closing Stock &amp; W Capital'!$D$15))*$C171*D$124</f>
        <v>0</v>
      </c>
      <c r="E171" s="77">
        <f>((D103*(1-'5.Closing Stock &amp; W Capital'!$D$15))+(C103*'5.Closing Stock &amp; W Capital'!$D$15))*$C171*E$124</f>
        <v>0</v>
      </c>
      <c r="F171" s="77">
        <f>((E103*(1-'5.Closing Stock &amp; W Capital'!$D$15))+(D103*'5.Closing Stock &amp; W Capital'!$D$15))*$C171*F$124</f>
        <v>0</v>
      </c>
      <c r="G171" s="77">
        <f>((F103*(1-'5.Closing Stock &amp; W Capital'!$D$15))+(E103*'5.Closing Stock &amp; W Capital'!$D$15))*$C171*G$124</f>
        <v>0</v>
      </c>
      <c r="H171" s="77">
        <f>((G103*(1-'5.Closing Stock &amp; W Capital'!$D$15))+(F103*'5.Closing Stock &amp; W Capital'!$D$15))*$C171*H$124</f>
        <v>0</v>
      </c>
      <c r="I171" s="77">
        <f>((H103*(1-'5.Closing Stock &amp; W Capital'!$D$15))+(G103*'5.Closing Stock &amp; W Capital'!$D$15))*$C171*I$124</f>
        <v>0</v>
      </c>
      <c r="J171" s="77">
        <f>((I103*(1-'5.Closing Stock &amp; W Capital'!$D$15))+(H103*'5.Closing Stock &amp; W Capital'!$D$15))*$C171*J$124</f>
        <v>0</v>
      </c>
      <c r="K171" s="75"/>
      <c r="U171" s="75"/>
      <c r="V171" s="75"/>
      <c r="W171" s="75"/>
    </row>
    <row r="172" spans="1:23">
      <c r="A172" s="424">
        <f t="shared" si="53"/>
        <v>0</v>
      </c>
      <c r="B172" s="76"/>
      <c r="C172" s="202"/>
      <c r="D172" s="77">
        <f>(C104*(1-'5.Closing Stock &amp; W Capital'!$D$15))*$C172*D$124</f>
        <v>0</v>
      </c>
      <c r="E172" s="77">
        <f>((D104*(1-'5.Closing Stock &amp; W Capital'!$D$15))+(C104*'5.Closing Stock &amp; W Capital'!$D$15))*$C172*E$124</f>
        <v>0</v>
      </c>
      <c r="F172" s="77">
        <f>((E104*(1-'5.Closing Stock &amp; W Capital'!$D$15))+(D104*'5.Closing Stock &amp; W Capital'!$D$15))*$C172*F$124</f>
        <v>0</v>
      </c>
      <c r="G172" s="77">
        <f>((F104*(1-'5.Closing Stock &amp; W Capital'!$D$15))+(E104*'5.Closing Stock &amp; W Capital'!$D$15))*$C172*G$124</f>
        <v>0</v>
      </c>
      <c r="H172" s="77">
        <f>((G104*(1-'5.Closing Stock &amp; W Capital'!$D$15))+(F104*'5.Closing Stock &amp; W Capital'!$D$15))*$C172*H$124</f>
        <v>0</v>
      </c>
      <c r="I172" s="77">
        <f>((H104*(1-'5.Closing Stock &amp; W Capital'!$D$15))+(G104*'5.Closing Stock &amp; W Capital'!$D$15))*$C172*I$124</f>
        <v>0</v>
      </c>
      <c r="J172" s="77">
        <f>((I104*(1-'5.Closing Stock &amp; W Capital'!$D$15))+(H104*'5.Closing Stock &amp; W Capital'!$D$15))*$C172*J$124</f>
        <v>0</v>
      </c>
      <c r="K172" s="75"/>
      <c r="U172" s="75"/>
      <c r="V172" s="75"/>
      <c r="W172" s="75"/>
    </row>
    <row r="173" spans="1:23">
      <c r="A173" s="424">
        <f t="shared" si="53"/>
        <v>0</v>
      </c>
      <c r="B173" s="76"/>
      <c r="C173" s="202"/>
      <c r="D173" s="77">
        <f>(C105*(1-'5.Closing Stock &amp; W Capital'!$D$15))*$C173*D$124</f>
        <v>0</v>
      </c>
      <c r="E173" s="77">
        <f>((D105*(1-'5.Closing Stock &amp; W Capital'!$D$15))+(C105*'5.Closing Stock &amp; W Capital'!$D$15))*$C173*E$124</f>
        <v>0</v>
      </c>
      <c r="F173" s="77">
        <f>((E105*(1-'5.Closing Stock &amp; W Capital'!$D$15))+(D105*'5.Closing Stock &amp; W Capital'!$D$15))*$C173*F$124</f>
        <v>0</v>
      </c>
      <c r="G173" s="77">
        <f>((F105*(1-'5.Closing Stock &amp; W Capital'!$D$15))+(E105*'5.Closing Stock &amp; W Capital'!$D$15))*$C173*G$124</f>
        <v>0</v>
      </c>
      <c r="H173" s="77">
        <f>((G105*(1-'5.Closing Stock &amp; W Capital'!$D$15))+(F105*'5.Closing Stock &amp; W Capital'!$D$15))*$C173*H$124</f>
        <v>0</v>
      </c>
      <c r="I173" s="77">
        <f>((H105*(1-'5.Closing Stock &amp; W Capital'!$D$15))+(G105*'5.Closing Stock &amp; W Capital'!$D$15))*$C173*I$124</f>
        <v>0</v>
      </c>
      <c r="J173" s="77">
        <f>((I105*(1-'5.Closing Stock &amp; W Capital'!$D$15))+(H105*'5.Closing Stock &amp; W Capital'!$D$15))*$C173*J$124</f>
        <v>0</v>
      </c>
      <c r="K173" s="75"/>
      <c r="U173" s="75"/>
      <c r="V173" s="75"/>
      <c r="W173" s="75"/>
    </row>
    <row r="174" spans="1:23">
      <c r="A174" s="424">
        <f t="shared" si="53"/>
        <v>0</v>
      </c>
      <c r="B174" s="76"/>
      <c r="C174" s="202"/>
      <c r="D174" s="77">
        <f>(C106*(1-'5.Closing Stock &amp; W Capital'!$D$15))*$C174*D$124</f>
        <v>0</v>
      </c>
      <c r="E174" s="77">
        <f>((D106*(1-'5.Closing Stock &amp; W Capital'!$D$15))+(C106*'5.Closing Stock &amp; W Capital'!$D$15))*$C174*E$124</f>
        <v>0</v>
      </c>
      <c r="F174" s="77">
        <f>((E106*(1-'5.Closing Stock &amp; W Capital'!$D$15))+(D106*'5.Closing Stock &amp; W Capital'!$D$15))*$C174*F$124</f>
        <v>0</v>
      </c>
      <c r="G174" s="77">
        <f>((F106*(1-'5.Closing Stock &amp; W Capital'!$D$15))+(E106*'5.Closing Stock &amp; W Capital'!$D$15))*$C174*G$124</f>
        <v>0</v>
      </c>
      <c r="H174" s="77">
        <f>((G106*(1-'5.Closing Stock &amp; W Capital'!$D$15))+(F106*'5.Closing Stock &amp; W Capital'!$D$15))*$C174*H$124</f>
        <v>0</v>
      </c>
      <c r="I174" s="77">
        <f>((H106*(1-'5.Closing Stock &amp; W Capital'!$D$15))+(G106*'5.Closing Stock &amp; W Capital'!$D$15))*$C174*I$124</f>
        <v>0</v>
      </c>
      <c r="J174" s="77">
        <f>((I106*(1-'5.Closing Stock &amp; W Capital'!$D$15))+(H106*'5.Closing Stock &amp; W Capital'!$D$15))*$C174*J$124</f>
        <v>0</v>
      </c>
      <c r="K174" s="75"/>
      <c r="U174" s="75"/>
      <c r="V174" s="75"/>
      <c r="W174" s="75"/>
    </row>
    <row r="175" spans="1:23">
      <c r="A175" s="76" t="str">
        <f t="shared" si="53"/>
        <v>Pomegranate</v>
      </c>
      <c r="B175" s="76"/>
      <c r="C175" s="202"/>
      <c r="D175" s="77">
        <f>(C107*(1-'5.Closing Stock &amp; W Capital'!$D$15))*$C175*D$124</f>
        <v>0</v>
      </c>
      <c r="E175" s="77">
        <f>((D107*(1-'5.Closing Stock &amp; W Capital'!$D$15))+(C107*'5.Closing Stock &amp; W Capital'!$D$15))*$C175*E$124</f>
        <v>0</v>
      </c>
      <c r="F175" s="77">
        <f>((E107*(1-'5.Closing Stock &amp; W Capital'!$D$15))+(D107*'5.Closing Stock &amp; W Capital'!$D$15))*$C175*F$124</f>
        <v>0</v>
      </c>
      <c r="G175" s="77">
        <f>((F107*(1-'5.Closing Stock &amp; W Capital'!$D$15))+(E107*'5.Closing Stock &amp; W Capital'!$D$15))*$C175*G$124</f>
        <v>0</v>
      </c>
      <c r="H175" s="77">
        <f>((G107*(1-'5.Closing Stock &amp; W Capital'!$D$15))+(F107*'5.Closing Stock &amp; W Capital'!$D$15))*$C175*H$124</f>
        <v>0</v>
      </c>
      <c r="I175" s="77">
        <f>((H107*(1-'5.Closing Stock &amp; W Capital'!$D$15))+(G107*'5.Closing Stock &amp; W Capital'!$D$15))*$C175*I$124</f>
        <v>0</v>
      </c>
      <c r="J175" s="77">
        <f>((I107*(1-'5.Closing Stock &amp; W Capital'!$D$15))+(H107*'5.Closing Stock &amp; W Capital'!$D$15))*$C175*J$124</f>
        <v>0</v>
      </c>
      <c r="K175" s="75"/>
      <c r="U175" s="75"/>
      <c r="V175" s="75"/>
      <c r="W175" s="75"/>
    </row>
    <row r="176" spans="1:23">
      <c r="A176" s="76" t="str">
        <f t="shared" si="53"/>
        <v>Custard Apple</v>
      </c>
      <c r="B176" s="76"/>
      <c r="C176" s="202"/>
      <c r="D176" s="77">
        <f>(C108*(1-'5.Closing Stock &amp; W Capital'!$D$15))*$C176*D$124</f>
        <v>0</v>
      </c>
      <c r="E176" s="77">
        <f>((D108*(1-'5.Closing Stock &amp; W Capital'!$D$15))+(C108*'5.Closing Stock &amp; W Capital'!$D$15))*$C176*E$124</f>
        <v>0</v>
      </c>
      <c r="F176" s="77">
        <f>((E108*(1-'5.Closing Stock &amp; W Capital'!$D$15))+(D108*'5.Closing Stock &amp; W Capital'!$D$15))*$C176*F$124</f>
        <v>0</v>
      </c>
      <c r="G176" s="77">
        <f>((F108*(1-'5.Closing Stock &amp; W Capital'!$D$15))+(E108*'5.Closing Stock &amp; W Capital'!$D$15))*$C176*G$124</f>
        <v>0</v>
      </c>
      <c r="H176" s="77">
        <f>((G108*(1-'5.Closing Stock &amp; W Capital'!$D$15))+(F108*'5.Closing Stock &amp; W Capital'!$D$15))*$C176*H$124</f>
        <v>0</v>
      </c>
      <c r="I176" s="77">
        <f>((H108*(1-'5.Closing Stock &amp; W Capital'!$D$15))+(G108*'5.Closing Stock &amp; W Capital'!$D$15))*$C176*I$124</f>
        <v>0</v>
      </c>
      <c r="J176" s="77">
        <f>((I108*(1-'5.Closing Stock &amp; W Capital'!$D$15))+(H108*'5.Closing Stock &amp; W Capital'!$D$15))*$C176*J$124</f>
        <v>0</v>
      </c>
      <c r="K176" s="75"/>
      <c r="U176" s="75"/>
      <c r="V176" s="75"/>
      <c r="W176" s="75"/>
    </row>
    <row r="177" spans="1:23">
      <c r="A177" s="76" t="str">
        <f t="shared" si="53"/>
        <v>Guava</v>
      </c>
      <c r="B177" s="76"/>
      <c r="C177" s="202"/>
      <c r="D177" s="77">
        <f>(C109*(1-'5.Closing Stock &amp; W Capital'!$D$15))*$C177*D$124</f>
        <v>0</v>
      </c>
      <c r="E177" s="77">
        <f>((D109*(1-'5.Closing Stock &amp; W Capital'!$D$15))+(C109*'5.Closing Stock &amp; W Capital'!$D$15))*$C177*E$124</f>
        <v>0</v>
      </c>
      <c r="F177" s="77">
        <f>((E109*(1-'5.Closing Stock &amp; W Capital'!$D$15))+(D109*'5.Closing Stock &amp; W Capital'!$D$15))*$C177*F$124</f>
        <v>0</v>
      </c>
      <c r="G177" s="77">
        <f>((F109*(1-'5.Closing Stock &amp; W Capital'!$D$15))+(E109*'5.Closing Stock &amp; W Capital'!$D$15))*$C177*G$124</f>
        <v>0</v>
      </c>
      <c r="H177" s="77">
        <f>((G109*(1-'5.Closing Stock &amp; W Capital'!$D$15))+(F109*'5.Closing Stock &amp; W Capital'!$D$15))*$C177*H$124</f>
        <v>0</v>
      </c>
      <c r="I177" s="77">
        <f>((H109*(1-'5.Closing Stock &amp; W Capital'!$D$15))+(G109*'5.Closing Stock &amp; W Capital'!$D$15))*$C177*I$124</f>
        <v>0</v>
      </c>
      <c r="J177" s="77">
        <f>((I109*(1-'5.Closing Stock &amp; W Capital'!$D$15))+(H109*'5.Closing Stock &amp; W Capital'!$D$15))*$C177*J$124</f>
        <v>0</v>
      </c>
      <c r="K177" s="75"/>
      <c r="U177" s="75"/>
      <c r="V177" s="75"/>
      <c r="W177" s="75"/>
    </row>
    <row r="178" spans="1:23">
      <c r="A178" s="76" t="str">
        <f t="shared" si="53"/>
        <v>Citrus</v>
      </c>
      <c r="B178" s="76"/>
      <c r="C178" s="202"/>
      <c r="D178" s="77">
        <f>(C110*(1-'5.Closing Stock &amp; W Capital'!$D$15))*$C178*D$124</f>
        <v>0</v>
      </c>
      <c r="E178" s="77">
        <f>((D110*(1-'5.Closing Stock &amp; W Capital'!$D$15))+(C110*'5.Closing Stock &amp; W Capital'!$D$15))*$C178*E$124</f>
        <v>0</v>
      </c>
      <c r="F178" s="77">
        <f>((E110*(1-'5.Closing Stock &amp; W Capital'!$D$15))+(D110*'5.Closing Stock &amp; W Capital'!$D$15))*$C178*F$124</f>
        <v>0</v>
      </c>
      <c r="G178" s="77">
        <f>((F110*(1-'5.Closing Stock &amp; W Capital'!$D$15))+(E110*'5.Closing Stock &amp; W Capital'!$D$15))*$C178*G$124</f>
        <v>0</v>
      </c>
      <c r="H178" s="77">
        <f>((G110*(1-'5.Closing Stock &amp; W Capital'!$D$15))+(F110*'5.Closing Stock &amp; W Capital'!$D$15))*$C178*H$124</f>
        <v>0</v>
      </c>
      <c r="I178" s="77">
        <f>((H110*(1-'5.Closing Stock &amp; W Capital'!$D$15))+(G110*'5.Closing Stock &amp; W Capital'!$D$15))*$C178*I$124</f>
        <v>0</v>
      </c>
      <c r="J178" s="77">
        <f>((I110*(1-'5.Closing Stock &amp; W Capital'!$D$15))+(H110*'5.Closing Stock &amp; W Capital'!$D$15))*$C178*J$124</f>
        <v>0</v>
      </c>
      <c r="K178" s="75"/>
      <c r="U178" s="75"/>
      <c r="V178" s="75"/>
      <c r="W178" s="75"/>
    </row>
    <row r="179" spans="1:23">
      <c r="A179" s="424">
        <f t="shared" si="53"/>
        <v>0</v>
      </c>
      <c r="B179" s="76"/>
      <c r="C179" s="202"/>
      <c r="D179" s="77"/>
      <c r="E179" s="77"/>
      <c r="F179" s="77"/>
      <c r="G179" s="77"/>
      <c r="H179" s="77"/>
      <c r="I179" s="77"/>
      <c r="J179" s="77"/>
      <c r="K179" s="75"/>
      <c r="U179" s="75"/>
      <c r="V179" s="75"/>
      <c r="W179" s="75"/>
    </row>
    <row r="180" spans="1:23">
      <c r="A180" s="76"/>
      <c r="B180" s="76"/>
      <c r="C180" s="77"/>
      <c r="D180" s="77"/>
      <c r="E180" s="77"/>
      <c r="F180" s="77"/>
      <c r="G180" s="77"/>
      <c r="H180" s="77"/>
      <c r="I180" s="77"/>
      <c r="J180" s="77"/>
      <c r="K180" s="75"/>
      <c r="U180" s="75"/>
      <c r="V180" s="75"/>
      <c r="W180" s="75"/>
    </row>
    <row r="181" spans="1:23">
      <c r="A181" s="76" t="s">
        <v>280</v>
      </c>
      <c r="B181" s="76"/>
      <c r="C181" s="77" t="s">
        <v>678</v>
      </c>
      <c r="D181" s="77"/>
      <c r="E181" s="77"/>
      <c r="F181" s="77"/>
      <c r="G181" s="77"/>
      <c r="H181" s="77"/>
      <c r="I181" s="77"/>
      <c r="J181" s="77"/>
      <c r="K181" s="75"/>
      <c r="U181" s="75"/>
      <c r="V181" s="75"/>
      <c r="W181" s="75"/>
    </row>
    <row r="182" spans="1:23">
      <c r="A182" s="76" t="s">
        <v>385</v>
      </c>
      <c r="B182" s="76"/>
      <c r="C182" s="202">
        <f>350/50</f>
        <v>7</v>
      </c>
      <c r="D182" s="77">
        <f>(C114*(1-'5.Closing Stock &amp; W Capital'!$D$15))*$C$182*D124</f>
        <v>0</v>
      </c>
      <c r="E182" s="77">
        <f>((D114*(1-'5.Closing Stock &amp; W Capital'!$D$15))+(C114*'5.Closing Stock &amp; W Capital'!$D$15))*$C$182*E124</f>
        <v>0</v>
      </c>
      <c r="F182" s="77">
        <f>((E114*(1-'5.Closing Stock &amp; W Capital'!$D$15))+(D114*'5.Closing Stock &amp; W Capital'!$D$15))*$C$182*F124</f>
        <v>0</v>
      </c>
      <c r="G182" s="77">
        <f>((F114*(1-'5.Closing Stock &amp; W Capital'!$D$15))+(E114*'5.Closing Stock &amp; W Capital'!$D$15))*$C$182*G124</f>
        <v>0</v>
      </c>
      <c r="H182" s="77">
        <f>((G114*(1-'5.Closing Stock &amp; W Capital'!$D$15))+(F114*'5.Closing Stock &amp; W Capital'!$D$15))*$C$182*H124</f>
        <v>0</v>
      </c>
      <c r="I182" s="77">
        <f>((H114*(1-'5.Closing Stock &amp; W Capital'!$D$15))+(G114*'5.Closing Stock &amp; W Capital'!$D$15))*$C$182*I124</f>
        <v>0</v>
      </c>
      <c r="J182" s="77">
        <f>((I114*(1-'5.Closing Stock &amp; W Capital'!$D$15))+(H114*'5.Closing Stock &amp; W Capital'!$D$15))*$C$182*J124</f>
        <v>0</v>
      </c>
      <c r="K182" s="75"/>
      <c r="U182" s="75"/>
      <c r="V182" s="75"/>
      <c r="W182" s="75"/>
    </row>
    <row r="183" spans="1:23">
      <c r="A183" s="76" t="s">
        <v>175</v>
      </c>
      <c r="B183" s="76"/>
      <c r="C183" s="202">
        <v>8</v>
      </c>
      <c r="D183" s="77">
        <f>(C115*(1-'5.Closing Stock &amp; W Capital'!$D$15))*$C$183*D124</f>
        <v>0</v>
      </c>
      <c r="E183" s="77">
        <f>((D115*(1-'5.Closing Stock &amp; W Capital'!$D$15))+(C115*'5.Closing Stock &amp; W Capital'!$D$15))*$C$183*E124</f>
        <v>0</v>
      </c>
      <c r="F183" s="77">
        <f>((E115*(1-'5.Closing Stock &amp; W Capital'!$D$15))+(D115*'5.Closing Stock &amp; W Capital'!$D$15))*$C$183*F124</f>
        <v>0</v>
      </c>
      <c r="G183" s="77">
        <f>((F115*(1-'5.Closing Stock &amp; W Capital'!$D$15))+(E115*'5.Closing Stock &amp; W Capital'!$D$15))*$C$183*G124</f>
        <v>0</v>
      </c>
      <c r="H183" s="77">
        <f>((G115*(1-'5.Closing Stock &amp; W Capital'!$D$15))+(F115*'5.Closing Stock &amp; W Capital'!$D$15))*$C$183*H124</f>
        <v>0</v>
      </c>
      <c r="I183" s="77">
        <f>((H115*(1-'5.Closing Stock &amp; W Capital'!$D$15))+(G115*'5.Closing Stock &amp; W Capital'!$D$15))*$C$183*I124</f>
        <v>0</v>
      </c>
      <c r="J183" s="77">
        <f>((I115*(1-'5.Closing Stock &amp; W Capital'!$D$15))+(H115*'5.Closing Stock &amp; W Capital'!$D$15))*$C$183*J124</f>
        <v>0</v>
      </c>
      <c r="K183" s="75"/>
      <c r="U183" s="75"/>
      <c r="V183" s="75"/>
      <c r="W183" s="75"/>
    </row>
    <row r="184" spans="1:23">
      <c r="A184" s="76" t="s">
        <v>177</v>
      </c>
      <c r="B184" s="76"/>
      <c r="C184" s="202">
        <v>30</v>
      </c>
      <c r="D184" s="77">
        <f>(C116*(1-'5.Closing Stock &amp; W Capital'!$D$15))*$C$184*D124</f>
        <v>0</v>
      </c>
      <c r="E184" s="77">
        <f>((D116*(1-'5.Closing Stock &amp; W Capital'!$D$15))+(C116*'5.Closing Stock &amp; W Capital'!$D$15))*$C$184*E124</f>
        <v>0</v>
      </c>
      <c r="F184" s="77">
        <f>((E116*(1-'5.Closing Stock &amp; W Capital'!$D$15))+(D116*'5.Closing Stock &amp; W Capital'!$D$15))*$C$184*F124</f>
        <v>0</v>
      </c>
      <c r="G184" s="77">
        <f>((F116*(1-'5.Closing Stock &amp; W Capital'!$D$15))+(E116*'5.Closing Stock &amp; W Capital'!$D$15))*$C$184*G124</f>
        <v>0</v>
      </c>
      <c r="H184" s="77">
        <f>((G116*(1-'5.Closing Stock &amp; W Capital'!$D$15))+(F116*'5.Closing Stock &amp; W Capital'!$D$15))*$C$184*H124</f>
        <v>0</v>
      </c>
      <c r="I184" s="77">
        <f>((H116*(1-'5.Closing Stock &amp; W Capital'!$D$15))+(G116*'5.Closing Stock &amp; W Capital'!$D$15))*$C$184*I124</f>
        <v>0</v>
      </c>
      <c r="J184" s="77">
        <f>((I116*(1-'5.Closing Stock &amp; W Capital'!$D$15))+(H116*'5.Closing Stock &amp; W Capital'!$D$15))*$C$184*J124</f>
        <v>0</v>
      </c>
      <c r="K184" s="75"/>
      <c r="U184" s="75"/>
      <c r="V184" s="75"/>
      <c r="W184" s="75"/>
    </row>
    <row r="185" spans="1:23">
      <c r="A185" s="76"/>
      <c r="B185" s="76"/>
      <c r="C185" s="77"/>
      <c r="D185" s="77"/>
      <c r="E185" s="77"/>
      <c r="F185" s="77"/>
      <c r="G185" s="77"/>
      <c r="H185" s="77"/>
      <c r="I185" s="77"/>
      <c r="J185" s="77"/>
      <c r="K185" s="75"/>
      <c r="U185" s="75"/>
      <c r="V185" s="75"/>
      <c r="W185" s="75"/>
    </row>
    <row r="186" spans="1:23">
      <c r="A186" s="76" t="s">
        <v>176</v>
      </c>
      <c r="B186" s="76"/>
      <c r="C186" s="77" t="s">
        <v>679</v>
      </c>
      <c r="D186" s="77"/>
      <c r="E186" s="77"/>
      <c r="F186" s="77"/>
      <c r="G186" s="77"/>
      <c r="H186" s="77"/>
      <c r="I186" s="77"/>
      <c r="J186" s="77"/>
      <c r="K186" s="75"/>
      <c r="U186" s="75"/>
      <c r="V186" s="75"/>
      <c r="W186" s="75"/>
    </row>
    <row r="187" spans="1:23">
      <c r="A187" s="76" t="s">
        <v>180</v>
      </c>
      <c r="B187" s="76"/>
      <c r="C187" s="202">
        <v>3000</v>
      </c>
      <c r="D187" s="77">
        <f>(C118*(1-'5.Closing Stock &amp; W Capital'!$D$15))*$C$187*D124</f>
        <v>0</v>
      </c>
      <c r="E187" s="77">
        <f>((D118*(1-'5.Closing Stock &amp; W Capital'!$D$15))+(C118*'5.Closing Stock &amp; W Capital'!$D$15))*$C$187*E124</f>
        <v>0</v>
      </c>
      <c r="F187" s="77">
        <f>((E118*(1-'5.Closing Stock &amp; W Capital'!$D$15))+(D118*'5.Closing Stock &amp; W Capital'!$D$15))*$C$187*F124</f>
        <v>0</v>
      </c>
      <c r="G187" s="77">
        <f>((F118*(1-'5.Closing Stock &amp; W Capital'!$D$15))+(E118*'5.Closing Stock &amp; W Capital'!$D$15))*$C$187*G124</f>
        <v>0</v>
      </c>
      <c r="H187" s="77">
        <f>((G118*(1-'5.Closing Stock &amp; W Capital'!$D$15))+(F118*'5.Closing Stock &amp; W Capital'!$D$15))*$C$187*H124</f>
        <v>0</v>
      </c>
      <c r="I187" s="77">
        <f>((H118*(1-'5.Closing Stock &amp; W Capital'!$D$15))+(G118*'5.Closing Stock &amp; W Capital'!$D$15))*$C$187*I124</f>
        <v>0</v>
      </c>
      <c r="J187" s="77">
        <f>((I118*(1-'5.Closing Stock &amp; W Capital'!$D$15))+(H118*'5.Closing Stock &amp; W Capital'!$D$15))*$C$187*J124</f>
        <v>0</v>
      </c>
      <c r="K187" s="75"/>
      <c r="U187" s="176"/>
      <c r="V187" s="176"/>
      <c r="W187" s="176"/>
    </row>
    <row r="188" spans="1:23">
      <c r="A188" s="76" t="s">
        <v>181</v>
      </c>
      <c r="B188" s="76"/>
      <c r="C188" s="202">
        <v>2200</v>
      </c>
      <c r="D188" s="77">
        <f>(C119*(1-'5.Closing Stock &amp; W Capital'!$D$15))*$C$188*D124</f>
        <v>0</v>
      </c>
      <c r="E188" s="77">
        <f>((D119*(1-'5.Closing Stock &amp; W Capital'!$D$15))+(C119*'5.Closing Stock &amp; W Capital'!$D$15))*$C$188*E124</f>
        <v>0</v>
      </c>
      <c r="F188" s="77">
        <f>((E119*(1-'5.Closing Stock &amp; W Capital'!$D$15))+(D119*'5.Closing Stock &amp; W Capital'!$D$15))*$C$188*F124</f>
        <v>0</v>
      </c>
      <c r="G188" s="77">
        <f>((F119*(1-'5.Closing Stock &amp; W Capital'!$D$15))+(E119*'5.Closing Stock &amp; W Capital'!$D$15))*$C$188*G124</f>
        <v>0</v>
      </c>
      <c r="H188" s="77">
        <f>((G119*(1-'5.Closing Stock &amp; W Capital'!$D$15))+(F119*'5.Closing Stock &amp; W Capital'!$D$15))*$C$188*H124</f>
        <v>0</v>
      </c>
      <c r="I188" s="77">
        <f>((H119*(1-'5.Closing Stock &amp; W Capital'!$D$15))+(G119*'5.Closing Stock &amp; W Capital'!$D$15))*$C$188*I124</f>
        <v>0</v>
      </c>
      <c r="J188" s="77">
        <f>((I119*(1-'5.Closing Stock &amp; W Capital'!$D$15))+(H119*'5.Closing Stock &amp; W Capital'!$D$15))*$C$188*J124</f>
        <v>0</v>
      </c>
      <c r="K188" s="75"/>
      <c r="U188" s="75"/>
      <c r="V188" s="75"/>
      <c r="W188" s="75"/>
    </row>
    <row r="189" spans="1:23">
      <c r="A189" s="76"/>
      <c r="B189" s="76"/>
      <c r="C189" s="77"/>
      <c r="D189" s="77"/>
      <c r="E189" s="77"/>
      <c r="F189" s="77"/>
      <c r="G189" s="77"/>
      <c r="H189" s="77"/>
      <c r="I189" s="77"/>
      <c r="J189" s="77"/>
      <c r="K189" s="75"/>
      <c r="U189" s="75"/>
      <c r="V189" s="75"/>
      <c r="W189" s="75"/>
    </row>
    <row r="190" spans="1:23">
      <c r="A190" s="76"/>
      <c r="B190" s="76"/>
      <c r="C190" s="77"/>
      <c r="D190" s="77"/>
      <c r="E190" s="77"/>
      <c r="F190" s="77"/>
      <c r="G190" s="77"/>
      <c r="H190" s="77"/>
      <c r="I190" s="77"/>
      <c r="J190" s="77"/>
      <c r="K190" s="75"/>
      <c r="U190" s="75"/>
      <c r="V190" s="75"/>
      <c r="W190" s="75"/>
    </row>
    <row r="191" spans="1:23">
      <c r="A191" s="78" t="s">
        <v>142</v>
      </c>
      <c r="B191" s="78"/>
      <c r="C191" s="96"/>
      <c r="D191" s="96">
        <f>SUM(D130:D190)</f>
        <v>0</v>
      </c>
      <c r="E191" s="96">
        <f t="shared" ref="E191:J191" si="54">SUM(E130:E190)</f>
        <v>0</v>
      </c>
      <c r="F191" s="96">
        <f t="shared" si="54"/>
        <v>0</v>
      </c>
      <c r="G191" s="96">
        <f t="shared" si="54"/>
        <v>0</v>
      </c>
      <c r="H191" s="96">
        <f t="shared" si="54"/>
        <v>0</v>
      </c>
      <c r="I191" s="96">
        <f t="shared" si="54"/>
        <v>0</v>
      </c>
      <c r="J191" s="96">
        <f t="shared" si="54"/>
        <v>0</v>
      </c>
      <c r="K191" s="75"/>
      <c r="U191" s="75"/>
      <c r="V191" s="75"/>
      <c r="W191" s="75"/>
    </row>
    <row r="192" spans="1:23">
      <c r="A192" s="76"/>
      <c r="B192" s="76"/>
      <c r="C192" s="77"/>
      <c r="D192" s="77"/>
      <c r="E192" s="77"/>
      <c r="F192" s="77"/>
      <c r="G192" s="77"/>
      <c r="H192" s="77"/>
      <c r="I192" s="77"/>
      <c r="J192" s="77"/>
      <c r="K192" s="75"/>
      <c r="U192" s="75"/>
      <c r="V192" s="75"/>
      <c r="W192" s="75"/>
    </row>
    <row r="193" spans="1:23">
      <c r="A193" s="76"/>
      <c r="B193" s="76"/>
      <c r="C193" s="77"/>
      <c r="D193" s="77"/>
      <c r="E193" s="77"/>
      <c r="F193" s="77"/>
      <c r="G193" s="77"/>
      <c r="H193" s="77"/>
      <c r="I193" s="77"/>
      <c r="J193" s="77"/>
      <c r="K193" s="75"/>
      <c r="U193" s="75"/>
      <c r="V193" s="75"/>
      <c r="W193" s="75"/>
    </row>
    <row r="194" spans="1:23">
      <c r="A194" s="78" t="s">
        <v>141</v>
      </c>
      <c r="B194" s="78"/>
      <c r="C194" s="77"/>
      <c r="D194" s="77"/>
      <c r="E194" s="77"/>
      <c r="F194" s="77"/>
      <c r="G194" s="77"/>
      <c r="H194" s="77"/>
      <c r="I194" s="77"/>
      <c r="J194" s="77"/>
      <c r="K194" s="75"/>
      <c r="U194" s="75"/>
      <c r="V194" s="75"/>
      <c r="W194" s="75"/>
    </row>
    <row r="195" spans="1:23">
      <c r="A195" s="78" t="str">
        <f>A128</f>
        <v>Seeds (Rate/KG)</v>
      </c>
      <c r="B195" s="78"/>
      <c r="C195" s="77"/>
      <c r="D195" s="77"/>
      <c r="E195" s="77"/>
      <c r="F195" s="77"/>
      <c r="G195" s="77"/>
      <c r="H195" s="77"/>
      <c r="I195" s="77"/>
      <c r="J195" s="77"/>
      <c r="K195" s="75"/>
      <c r="U195" s="75"/>
      <c r="V195" s="75"/>
      <c r="W195" s="75"/>
    </row>
    <row r="196" spans="1:23">
      <c r="A196" s="78" t="s">
        <v>304</v>
      </c>
      <c r="B196" s="76"/>
      <c r="C196" s="76"/>
      <c r="D196" s="76"/>
      <c r="E196" s="76"/>
      <c r="F196" s="76"/>
      <c r="G196" s="76"/>
      <c r="H196" s="76"/>
      <c r="I196" s="76"/>
      <c r="J196" s="76"/>
      <c r="K196" s="75"/>
      <c r="U196" s="75"/>
      <c r="V196" s="75"/>
      <c r="W196" s="75"/>
    </row>
    <row r="197" spans="1:23">
      <c r="A197" s="78" t="s">
        <v>681</v>
      </c>
      <c r="B197" s="76"/>
      <c r="C197" s="76"/>
      <c r="D197" s="76"/>
      <c r="E197" s="76"/>
      <c r="F197" s="76"/>
      <c r="G197" s="76"/>
      <c r="H197" s="76"/>
      <c r="I197" s="76"/>
      <c r="J197" s="76"/>
      <c r="K197" s="75"/>
      <c r="U197" s="75"/>
      <c r="V197" s="75"/>
      <c r="W197" s="75"/>
    </row>
    <row r="198" spans="1:23">
      <c r="A198" s="257" t="str">
        <f t="shared" ref="A198:A239" si="55">A130</f>
        <v>Maize (Kharif)</v>
      </c>
      <c r="B198" s="75"/>
      <c r="C198" s="258">
        <v>85</v>
      </c>
      <c r="D198" s="259">
        <f t="shared" ref="D198:J207" si="56">C62*$C198*D$124</f>
        <v>0</v>
      </c>
      <c r="E198" s="259">
        <f t="shared" si="56"/>
        <v>0</v>
      </c>
      <c r="F198" s="259">
        <f t="shared" si="56"/>
        <v>0</v>
      </c>
      <c r="G198" s="259">
        <f t="shared" si="56"/>
        <v>0</v>
      </c>
      <c r="H198" s="259">
        <f t="shared" si="56"/>
        <v>0</v>
      </c>
      <c r="I198" s="259">
        <f t="shared" si="56"/>
        <v>0</v>
      </c>
      <c r="J198" s="259">
        <f t="shared" si="56"/>
        <v>0</v>
      </c>
      <c r="K198" s="75"/>
      <c r="U198" s="75"/>
      <c r="V198" s="75"/>
      <c r="W198" s="75"/>
    </row>
    <row r="199" spans="1:23">
      <c r="A199" s="76" t="str">
        <f t="shared" si="55"/>
        <v>Red Gram/Tur</v>
      </c>
      <c r="B199" s="76"/>
      <c r="C199" s="202">
        <v>75</v>
      </c>
      <c r="D199" s="77">
        <f t="shared" si="56"/>
        <v>0</v>
      </c>
      <c r="E199" s="77">
        <f t="shared" si="56"/>
        <v>0</v>
      </c>
      <c r="F199" s="77">
        <f t="shared" si="56"/>
        <v>0</v>
      </c>
      <c r="G199" s="77">
        <f t="shared" si="56"/>
        <v>0</v>
      </c>
      <c r="H199" s="77">
        <f t="shared" si="56"/>
        <v>0</v>
      </c>
      <c r="I199" s="77">
        <f t="shared" si="56"/>
        <v>0</v>
      </c>
      <c r="J199" s="77">
        <f t="shared" si="56"/>
        <v>0</v>
      </c>
      <c r="K199" s="75"/>
      <c r="U199" s="75"/>
      <c r="V199" s="75"/>
      <c r="W199" s="75"/>
    </row>
    <row r="200" spans="1:23">
      <c r="A200" s="76" t="str">
        <f t="shared" si="55"/>
        <v>Paddy/Rice</v>
      </c>
      <c r="B200" s="76"/>
      <c r="C200" s="202">
        <v>57</v>
      </c>
      <c r="D200" s="77">
        <f t="shared" si="56"/>
        <v>0</v>
      </c>
      <c r="E200" s="77">
        <f t="shared" si="56"/>
        <v>0</v>
      </c>
      <c r="F200" s="77">
        <f t="shared" si="56"/>
        <v>0</v>
      </c>
      <c r="G200" s="77">
        <f t="shared" si="56"/>
        <v>0</v>
      </c>
      <c r="H200" s="77">
        <f t="shared" si="56"/>
        <v>0</v>
      </c>
      <c r="I200" s="77">
        <f t="shared" si="56"/>
        <v>0</v>
      </c>
      <c r="J200" s="77">
        <f t="shared" si="56"/>
        <v>0</v>
      </c>
      <c r="K200" s="75"/>
      <c r="U200" s="75"/>
      <c r="V200" s="75"/>
      <c r="W200" s="75"/>
    </row>
    <row r="201" spans="1:23">
      <c r="A201" s="76" t="str">
        <f t="shared" si="55"/>
        <v>Green Gram/ Moong</v>
      </c>
      <c r="B201" s="76"/>
      <c r="C201" s="202">
        <v>80</v>
      </c>
      <c r="D201" s="77">
        <f t="shared" si="56"/>
        <v>0</v>
      </c>
      <c r="E201" s="77">
        <f t="shared" si="56"/>
        <v>0</v>
      </c>
      <c r="F201" s="77">
        <f t="shared" si="56"/>
        <v>0</v>
      </c>
      <c r="G201" s="77">
        <f t="shared" si="56"/>
        <v>0</v>
      </c>
      <c r="H201" s="77">
        <f t="shared" si="56"/>
        <v>0</v>
      </c>
      <c r="I201" s="77">
        <f t="shared" si="56"/>
        <v>0</v>
      </c>
      <c r="J201" s="77">
        <f t="shared" si="56"/>
        <v>0</v>
      </c>
      <c r="K201" s="75"/>
      <c r="L201" s="75"/>
      <c r="M201" s="75"/>
      <c r="N201" s="75"/>
      <c r="O201" s="75"/>
      <c r="P201" s="75"/>
      <c r="Q201" s="75"/>
      <c r="R201" s="75"/>
      <c r="S201" s="75"/>
      <c r="T201" s="75"/>
      <c r="U201" s="75"/>
      <c r="V201" s="75"/>
      <c r="W201" s="75"/>
    </row>
    <row r="202" spans="1:23">
      <c r="A202" s="76" t="str">
        <f t="shared" si="55"/>
        <v>Soyabean</v>
      </c>
      <c r="B202" s="76"/>
      <c r="C202" s="202">
        <v>25</v>
      </c>
      <c r="D202" s="77">
        <f t="shared" si="56"/>
        <v>0</v>
      </c>
      <c r="E202" s="77">
        <f t="shared" si="56"/>
        <v>0</v>
      </c>
      <c r="F202" s="77">
        <f t="shared" si="56"/>
        <v>0</v>
      </c>
      <c r="G202" s="77">
        <f t="shared" si="56"/>
        <v>0</v>
      </c>
      <c r="H202" s="77">
        <f t="shared" si="56"/>
        <v>0</v>
      </c>
      <c r="I202" s="77">
        <f t="shared" si="56"/>
        <v>0</v>
      </c>
      <c r="J202" s="77">
        <f t="shared" si="56"/>
        <v>0</v>
      </c>
      <c r="K202" s="75"/>
      <c r="L202" s="75"/>
      <c r="M202" s="75"/>
      <c r="N202" s="75"/>
      <c r="O202" s="75"/>
      <c r="P202" s="75"/>
      <c r="Q202" s="75"/>
      <c r="R202" s="75"/>
      <c r="S202" s="75"/>
      <c r="T202" s="75"/>
      <c r="U202" s="75"/>
      <c r="V202" s="75"/>
      <c r="W202" s="75"/>
    </row>
    <row r="203" spans="1:23">
      <c r="A203" s="76" t="str">
        <f t="shared" si="55"/>
        <v>Black Gram/Udid</v>
      </c>
      <c r="B203" s="76"/>
      <c r="C203" s="202">
        <v>70</v>
      </c>
      <c r="D203" s="77">
        <f t="shared" si="56"/>
        <v>0</v>
      </c>
      <c r="E203" s="77">
        <f t="shared" si="56"/>
        <v>0</v>
      </c>
      <c r="F203" s="77">
        <f t="shared" si="56"/>
        <v>0</v>
      </c>
      <c r="G203" s="77">
        <f t="shared" si="56"/>
        <v>0</v>
      </c>
      <c r="H203" s="77">
        <f t="shared" si="56"/>
        <v>0</v>
      </c>
      <c r="I203" s="77">
        <f t="shared" si="56"/>
        <v>0</v>
      </c>
      <c r="J203" s="77">
        <f t="shared" si="56"/>
        <v>0</v>
      </c>
      <c r="K203" s="75"/>
      <c r="L203" s="75"/>
      <c r="M203" s="75"/>
      <c r="N203" s="75"/>
      <c r="O203" s="75"/>
      <c r="P203" s="75"/>
      <c r="Q203" s="75"/>
      <c r="R203" s="75"/>
      <c r="S203" s="75"/>
      <c r="T203" s="75"/>
      <c r="U203" s="75"/>
      <c r="V203" s="75"/>
      <c r="W203" s="75"/>
    </row>
    <row r="204" spans="1:23">
      <c r="A204" s="76" t="str">
        <f t="shared" si="55"/>
        <v>Bajra (Kharif)</v>
      </c>
      <c r="B204" s="76"/>
      <c r="C204" s="202">
        <v>25</v>
      </c>
      <c r="D204" s="77">
        <f t="shared" si="56"/>
        <v>0</v>
      </c>
      <c r="E204" s="77">
        <f t="shared" si="56"/>
        <v>0</v>
      </c>
      <c r="F204" s="77">
        <f t="shared" si="56"/>
        <v>0</v>
      </c>
      <c r="G204" s="77">
        <f t="shared" si="56"/>
        <v>0</v>
      </c>
      <c r="H204" s="77">
        <f t="shared" si="56"/>
        <v>0</v>
      </c>
      <c r="I204" s="77">
        <f t="shared" si="56"/>
        <v>0</v>
      </c>
      <c r="J204" s="77">
        <f t="shared" si="56"/>
        <v>0</v>
      </c>
      <c r="K204" s="75"/>
      <c r="L204" s="75"/>
      <c r="M204" s="75"/>
      <c r="N204" s="75"/>
      <c r="O204" s="75"/>
      <c r="P204" s="75"/>
      <c r="Q204" s="75"/>
      <c r="R204" s="75"/>
      <c r="S204" s="75"/>
      <c r="T204" s="75"/>
      <c r="U204" s="75"/>
      <c r="V204" s="75"/>
      <c r="W204" s="75"/>
    </row>
    <row r="205" spans="1:23">
      <c r="A205" s="76" t="str">
        <f t="shared" si="55"/>
        <v>Jawar</v>
      </c>
      <c r="B205" s="76"/>
      <c r="C205" s="202">
        <v>25</v>
      </c>
      <c r="D205" s="77">
        <f t="shared" si="56"/>
        <v>0</v>
      </c>
      <c r="E205" s="77">
        <f t="shared" si="56"/>
        <v>0</v>
      </c>
      <c r="F205" s="77">
        <f t="shared" si="56"/>
        <v>0</v>
      </c>
      <c r="G205" s="77">
        <f t="shared" si="56"/>
        <v>0</v>
      </c>
      <c r="H205" s="77">
        <f t="shared" si="56"/>
        <v>0</v>
      </c>
      <c r="I205" s="77">
        <f t="shared" si="56"/>
        <v>0</v>
      </c>
      <c r="J205" s="77">
        <f t="shared" si="56"/>
        <v>0</v>
      </c>
      <c r="K205" s="75"/>
      <c r="L205" s="75"/>
      <c r="M205" s="75"/>
      <c r="N205" s="75"/>
      <c r="O205" s="75"/>
      <c r="P205" s="75"/>
      <c r="Q205" s="75"/>
      <c r="R205" s="75"/>
      <c r="S205" s="75"/>
      <c r="T205" s="75"/>
      <c r="U205" s="75"/>
      <c r="V205" s="75"/>
      <c r="W205" s="75"/>
    </row>
    <row r="206" spans="1:23">
      <c r="A206" s="78" t="str">
        <f t="shared" si="55"/>
        <v>Rabi Crop</v>
      </c>
      <c r="B206" s="76"/>
      <c r="C206" s="202"/>
      <c r="D206" s="77">
        <f t="shared" si="56"/>
        <v>0</v>
      </c>
      <c r="E206" s="77">
        <f t="shared" si="56"/>
        <v>0</v>
      </c>
      <c r="F206" s="77">
        <f t="shared" si="56"/>
        <v>0</v>
      </c>
      <c r="G206" s="77">
        <f t="shared" si="56"/>
        <v>0</v>
      </c>
      <c r="H206" s="77">
        <f t="shared" si="56"/>
        <v>0</v>
      </c>
      <c r="I206" s="77">
        <f t="shared" si="56"/>
        <v>0</v>
      </c>
      <c r="J206" s="77">
        <f t="shared" si="56"/>
        <v>0</v>
      </c>
      <c r="K206" s="75"/>
      <c r="L206" s="75"/>
      <c r="M206" s="75"/>
      <c r="N206" s="75"/>
      <c r="O206" s="75"/>
      <c r="P206" s="75"/>
      <c r="Q206" s="75"/>
      <c r="R206" s="75"/>
      <c r="S206" s="75"/>
      <c r="T206" s="75"/>
      <c r="U206" s="75"/>
      <c r="V206" s="75"/>
      <c r="W206" s="75"/>
    </row>
    <row r="207" spans="1:23">
      <c r="A207" s="76" t="str">
        <f t="shared" si="55"/>
        <v>Maize (Rabbi)</v>
      </c>
      <c r="B207" s="76"/>
      <c r="C207" s="202">
        <v>35</v>
      </c>
      <c r="D207" s="77">
        <f t="shared" si="56"/>
        <v>0</v>
      </c>
      <c r="E207" s="77">
        <f t="shared" si="56"/>
        <v>0</v>
      </c>
      <c r="F207" s="77">
        <f t="shared" si="56"/>
        <v>0</v>
      </c>
      <c r="G207" s="77">
        <f t="shared" si="56"/>
        <v>0</v>
      </c>
      <c r="H207" s="77">
        <f t="shared" si="56"/>
        <v>0</v>
      </c>
      <c r="I207" s="77">
        <f t="shared" si="56"/>
        <v>0</v>
      </c>
      <c r="J207" s="77">
        <f t="shared" si="56"/>
        <v>0</v>
      </c>
      <c r="K207" s="75"/>
      <c r="L207" s="75"/>
      <c r="M207" s="75"/>
      <c r="N207" s="75"/>
      <c r="O207" s="75"/>
      <c r="P207" s="75"/>
      <c r="Q207" s="75"/>
      <c r="R207" s="75"/>
      <c r="S207" s="75"/>
      <c r="T207" s="75"/>
      <c r="U207" s="75"/>
      <c r="V207" s="75"/>
      <c r="W207" s="75"/>
    </row>
    <row r="208" spans="1:23">
      <c r="A208" s="76" t="str">
        <f t="shared" si="55"/>
        <v>Gram (Rabbi)</v>
      </c>
      <c r="B208" s="76"/>
      <c r="C208" s="202">
        <v>70</v>
      </c>
      <c r="D208" s="77">
        <f t="shared" ref="D208:J217" si="57">C72*$C208*D$124</f>
        <v>0</v>
      </c>
      <c r="E208" s="77">
        <f t="shared" si="57"/>
        <v>0</v>
      </c>
      <c r="F208" s="77">
        <f t="shared" si="57"/>
        <v>0</v>
      </c>
      <c r="G208" s="77">
        <f t="shared" si="57"/>
        <v>0</v>
      </c>
      <c r="H208" s="77">
        <f t="shared" si="57"/>
        <v>0</v>
      </c>
      <c r="I208" s="77">
        <f t="shared" si="57"/>
        <v>0</v>
      </c>
      <c r="J208" s="77">
        <f t="shared" si="57"/>
        <v>0</v>
      </c>
      <c r="K208" s="75"/>
      <c r="L208" s="75"/>
      <c r="M208" s="75"/>
      <c r="N208" s="75"/>
      <c r="O208" s="75"/>
      <c r="P208" s="75"/>
      <c r="Q208" s="75"/>
      <c r="R208" s="75"/>
      <c r="S208" s="75"/>
      <c r="T208" s="75"/>
      <c r="U208" s="75"/>
      <c r="V208" s="75"/>
      <c r="W208" s="75"/>
    </row>
    <row r="209" spans="1:23">
      <c r="A209" s="76" t="str">
        <f t="shared" si="55"/>
        <v>Wheat (Rabbi)</v>
      </c>
      <c r="B209" s="76"/>
      <c r="C209" s="202">
        <v>25</v>
      </c>
      <c r="D209" s="77">
        <f t="shared" si="57"/>
        <v>0</v>
      </c>
      <c r="E209" s="77">
        <f t="shared" si="57"/>
        <v>0</v>
      </c>
      <c r="F209" s="77">
        <f t="shared" si="57"/>
        <v>0</v>
      </c>
      <c r="G209" s="77">
        <f t="shared" si="57"/>
        <v>0</v>
      </c>
      <c r="H209" s="77">
        <f t="shared" si="57"/>
        <v>0</v>
      </c>
      <c r="I209" s="77">
        <f t="shared" si="57"/>
        <v>0</v>
      </c>
      <c r="J209" s="77">
        <f t="shared" si="57"/>
        <v>0</v>
      </c>
      <c r="K209" s="75"/>
      <c r="L209" s="75"/>
      <c r="M209" s="75"/>
      <c r="N209" s="75"/>
      <c r="O209" s="75"/>
      <c r="P209" s="75"/>
      <c r="Q209" s="75"/>
      <c r="R209" s="75"/>
      <c r="S209" s="75"/>
      <c r="T209" s="75"/>
      <c r="U209" s="75"/>
      <c r="V209" s="75"/>
      <c r="W209" s="75"/>
    </row>
    <row r="210" spans="1:23">
      <c r="A210" s="76">
        <f t="shared" si="55"/>
        <v>0</v>
      </c>
      <c r="B210" s="76"/>
      <c r="C210" s="202">
        <v>25</v>
      </c>
      <c r="D210" s="77">
        <f t="shared" si="57"/>
        <v>0</v>
      </c>
      <c r="E210" s="77">
        <f t="shared" si="57"/>
        <v>0</v>
      </c>
      <c r="F210" s="77">
        <f t="shared" si="57"/>
        <v>0</v>
      </c>
      <c r="G210" s="77">
        <f t="shared" si="57"/>
        <v>0</v>
      </c>
      <c r="H210" s="77">
        <f t="shared" si="57"/>
        <v>0</v>
      </c>
      <c r="I210" s="77">
        <f t="shared" si="57"/>
        <v>0</v>
      </c>
      <c r="J210" s="77">
        <f t="shared" si="57"/>
        <v>0</v>
      </c>
      <c r="K210" s="75"/>
      <c r="L210" s="75"/>
      <c r="M210" s="75"/>
      <c r="N210" s="75"/>
      <c r="O210" s="75"/>
      <c r="P210" s="75"/>
      <c r="Q210" s="75"/>
      <c r="R210" s="75"/>
      <c r="S210" s="75"/>
      <c r="T210" s="75"/>
      <c r="U210" s="75"/>
      <c r="V210" s="75"/>
      <c r="W210" s="75"/>
    </row>
    <row r="211" spans="1:23">
      <c r="A211" s="76">
        <f t="shared" si="55"/>
        <v>0</v>
      </c>
      <c r="B211" s="76"/>
      <c r="C211" s="202">
        <v>25</v>
      </c>
      <c r="D211" s="77">
        <f t="shared" si="57"/>
        <v>0</v>
      </c>
      <c r="E211" s="77">
        <f t="shared" si="57"/>
        <v>0</v>
      </c>
      <c r="F211" s="77">
        <f t="shared" si="57"/>
        <v>0</v>
      </c>
      <c r="G211" s="77">
        <f t="shared" si="57"/>
        <v>0</v>
      </c>
      <c r="H211" s="77">
        <f t="shared" si="57"/>
        <v>0</v>
      </c>
      <c r="I211" s="77">
        <f t="shared" si="57"/>
        <v>0</v>
      </c>
      <c r="J211" s="77">
        <f t="shared" si="57"/>
        <v>0</v>
      </c>
      <c r="K211" s="75"/>
      <c r="L211" s="75"/>
      <c r="M211" s="75"/>
      <c r="N211" s="75"/>
      <c r="O211" s="75"/>
      <c r="P211" s="75"/>
      <c r="Q211" s="75"/>
      <c r="R211" s="75"/>
      <c r="S211" s="75"/>
      <c r="T211" s="75"/>
      <c r="U211" s="75"/>
      <c r="V211" s="75"/>
      <c r="W211" s="75"/>
    </row>
    <row r="212" spans="1:23">
      <c r="A212" s="424">
        <f t="shared" si="55"/>
        <v>0</v>
      </c>
      <c r="B212" s="76"/>
      <c r="C212" s="202"/>
      <c r="D212" s="77">
        <f t="shared" si="57"/>
        <v>0</v>
      </c>
      <c r="E212" s="77">
        <f t="shared" si="57"/>
        <v>0</v>
      </c>
      <c r="F212" s="77">
        <f t="shared" si="57"/>
        <v>0</v>
      </c>
      <c r="G212" s="77">
        <f t="shared" si="57"/>
        <v>0</v>
      </c>
      <c r="H212" s="77">
        <f t="shared" si="57"/>
        <v>0</v>
      </c>
      <c r="I212" s="77">
        <f t="shared" si="57"/>
        <v>0</v>
      </c>
      <c r="J212" s="77">
        <f t="shared" si="57"/>
        <v>0</v>
      </c>
      <c r="K212" s="75"/>
      <c r="L212" s="75"/>
      <c r="M212" s="75"/>
      <c r="N212" s="75"/>
      <c r="O212" s="75"/>
      <c r="P212" s="75"/>
      <c r="Q212" s="75"/>
      <c r="R212" s="75"/>
      <c r="S212" s="75"/>
      <c r="T212" s="75"/>
      <c r="U212" s="75"/>
      <c r="V212" s="75"/>
      <c r="W212" s="75"/>
    </row>
    <row r="213" spans="1:23">
      <c r="A213" s="424">
        <f t="shared" si="55"/>
        <v>0</v>
      </c>
      <c r="B213" s="76"/>
      <c r="C213" s="202"/>
      <c r="D213" s="77">
        <f t="shared" si="57"/>
        <v>0</v>
      </c>
      <c r="E213" s="77">
        <f t="shared" si="57"/>
        <v>0</v>
      </c>
      <c r="F213" s="77">
        <f t="shared" si="57"/>
        <v>0</v>
      </c>
      <c r="G213" s="77">
        <f t="shared" si="57"/>
        <v>0</v>
      </c>
      <c r="H213" s="77">
        <f t="shared" si="57"/>
        <v>0</v>
      </c>
      <c r="I213" s="77">
        <f t="shared" si="57"/>
        <v>0</v>
      </c>
      <c r="J213" s="77">
        <f t="shared" si="57"/>
        <v>0</v>
      </c>
      <c r="K213" s="75"/>
      <c r="L213" s="75"/>
      <c r="M213" s="75"/>
      <c r="N213" s="75"/>
      <c r="O213" s="75"/>
      <c r="P213" s="75"/>
      <c r="Q213" s="75"/>
      <c r="R213" s="75"/>
      <c r="S213" s="75"/>
      <c r="T213" s="75"/>
      <c r="U213" s="75"/>
      <c r="V213" s="75"/>
      <c r="W213" s="75"/>
    </row>
    <row r="214" spans="1:23">
      <c r="A214" s="424">
        <f t="shared" si="55"/>
        <v>0</v>
      </c>
      <c r="B214" s="76"/>
      <c r="C214" s="202"/>
      <c r="D214" s="77">
        <f t="shared" si="57"/>
        <v>0</v>
      </c>
      <c r="E214" s="77">
        <f t="shared" si="57"/>
        <v>0</v>
      </c>
      <c r="F214" s="77">
        <f t="shared" si="57"/>
        <v>0</v>
      </c>
      <c r="G214" s="77">
        <f t="shared" si="57"/>
        <v>0</v>
      </c>
      <c r="H214" s="77">
        <f t="shared" si="57"/>
        <v>0</v>
      </c>
      <c r="I214" s="77">
        <f t="shared" si="57"/>
        <v>0</v>
      </c>
      <c r="J214" s="77">
        <f t="shared" si="57"/>
        <v>0</v>
      </c>
      <c r="K214" s="75"/>
      <c r="L214" s="75"/>
      <c r="M214" s="75"/>
      <c r="N214" s="75"/>
      <c r="O214" s="75"/>
      <c r="P214" s="75"/>
      <c r="Q214" s="75"/>
      <c r="R214" s="75"/>
      <c r="S214" s="75"/>
      <c r="T214" s="75"/>
      <c r="U214" s="75"/>
      <c r="V214" s="75"/>
      <c r="W214" s="75"/>
    </row>
    <row r="215" spans="1:23">
      <c r="A215" s="76" t="str">
        <f t="shared" si="55"/>
        <v>Summer</v>
      </c>
      <c r="B215" s="76"/>
      <c r="C215" s="202"/>
      <c r="D215" s="77">
        <f t="shared" si="57"/>
        <v>0</v>
      </c>
      <c r="E215" s="77">
        <f t="shared" si="57"/>
        <v>0</v>
      </c>
      <c r="F215" s="77">
        <f t="shared" si="57"/>
        <v>0</v>
      </c>
      <c r="G215" s="77">
        <f t="shared" si="57"/>
        <v>0</v>
      </c>
      <c r="H215" s="77">
        <f t="shared" si="57"/>
        <v>0</v>
      </c>
      <c r="I215" s="77">
        <f t="shared" si="57"/>
        <v>0</v>
      </c>
      <c r="J215" s="77">
        <f t="shared" si="57"/>
        <v>0</v>
      </c>
      <c r="K215" s="75"/>
      <c r="L215" s="75"/>
      <c r="M215" s="75"/>
      <c r="N215" s="75"/>
      <c r="O215" s="75"/>
      <c r="P215" s="75"/>
      <c r="Q215" s="75"/>
      <c r="R215" s="75"/>
      <c r="S215" s="75"/>
      <c r="T215" s="75"/>
      <c r="U215" s="75"/>
      <c r="V215" s="75"/>
      <c r="W215" s="75"/>
    </row>
    <row r="216" spans="1:23">
      <c r="A216" s="76" t="str">
        <f t="shared" si="55"/>
        <v>Maize (Summer)</v>
      </c>
      <c r="B216" s="76"/>
      <c r="C216" s="202"/>
      <c r="D216" s="77">
        <f t="shared" si="57"/>
        <v>0</v>
      </c>
      <c r="E216" s="77">
        <f t="shared" si="57"/>
        <v>0</v>
      </c>
      <c r="F216" s="77">
        <f t="shared" si="57"/>
        <v>0</v>
      </c>
      <c r="G216" s="77">
        <f t="shared" si="57"/>
        <v>0</v>
      </c>
      <c r="H216" s="77">
        <f t="shared" si="57"/>
        <v>0</v>
      </c>
      <c r="I216" s="77">
        <f t="shared" si="57"/>
        <v>0</v>
      </c>
      <c r="J216" s="77">
        <f t="shared" si="57"/>
        <v>0</v>
      </c>
      <c r="K216" s="75"/>
      <c r="L216" s="75"/>
      <c r="M216" s="75"/>
      <c r="N216" s="75"/>
      <c r="O216" s="75"/>
      <c r="P216" s="75"/>
      <c r="Q216" s="75"/>
      <c r="R216" s="75"/>
      <c r="S216" s="75"/>
      <c r="T216" s="75"/>
      <c r="U216" s="75"/>
      <c r="V216" s="75"/>
      <c r="W216" s="75"/>
    </row>
    <row r="217" spans="1:23">
      <c r="A217" s="424" t="str">
        <f t="shared" si="55"/>
        <v>Jawar (Summer)</v>
      </c>
      <c r="B217" s="76"/>
      <c r="C217" s="202"/>
      <c r="D217" s="77">
        <f t="shared" si="57"/>
        <v>0</v>
      </c>
      <c r="E217" s="77">
        <f t="shared" si="57"/>
        <v>0</v>
      </c>
      <c r="F217" s="77">
        <f t="shared" si="57"/>
        <v>0</v>
      </c>
      <c r="G217" s="77">
        <f t="shared" si="57"/>
        <v>0</v>
      </c>
      <c r="H217" s="77">
        <f t="shared" si="57"/>
        <v>0</v>
      </c>
      <c r="I217" s="77">
        <f t="shared" si="57"/>
        <v>0</v>
      </c>
      <c r="J217" s="77">
        <f t="shared" si="57"/>
        <v>0</v>
      </c>
      <c r="K217" s="75"/>
      <c r="L217" s="75"/>
      <c r="M217" s="75"/>
      <c r="N217" s="75"/>
      <c r="O217" s="75"/>
      <c r="P217" s="75"/>
      <c r="Q217" s="75"/>
      <c r="R217" s="75"/>
      <c r="S217" s="75"/>
      <c r="T217" s="75"/>
      <c r="U217" s="75"/>
      <c r="V217" s="75"/>
      <c r="W217" s="75"/>
    </row>
    <row r="218" spans="1:23">
      <c r="A218" s="424">
        <f t="shared" si="55"/>
        <v>0</v>
      </c>
      <c r="B218" s="76"/>
      <c r="C218" s="202"/>
      <c r="D218" s="77">
        <f t="shared" ref="D218:J220" si="58">C82*$C218*D$124</f>
        <v>0</v>
      </c>
      <c r="E218" s="77">
        <f t="shared" si="58"/>
        <v>0</v>
      </c>
      <c r="F218" s="77">
        <f t="shared" si="58"/>
        <v>0</v>
      </c>
      <c r="G218" s="77">
        <f t="shared" si="58"/>
        <v>0</v>
      </c>
      <c r="H218" s="77">
        <f t="shared" si="58"/>
        <v>0</v>
      </c>
      <c r="I218" s="77">
        <f t="shared" si="58"/>
        <v>0</v>
      </c>
      <c r="J218" s="77">
        <f t="shared" si="58"/>
        <v>0</v>
      </c>
      <c r="K218" s="75"/>
      <c r="L218" s="75"/>
      <c r="M218" s="75"/>
      <c r="N218" s="75"/>
      <c r="O218" s="75"/>
      <c r="P218" s="75"/>
      <c r="Q218" s="75"/>
      <c r="R218" s="75"/>
      <c r="S218" s="75"/>
      <c r="T218" s="75"/>
      <c r="U218" s="75"/>
      <c r="V218" s="75"/>
      <c r="W218" s="75"/>
    </row>
    <row r="219" spans="1:23">
      <c r="A219" s="424">
        <f t="shared" si="55"/>
        <v>0</v>
      </c>
      <c r="B219" s="76"/>
      <c r="C219" s="202"/>
      <c r="D219" s="77">
        <f t="shared" si="58"/>
        <v>0</v>
      </c>
      <c r="E219" s="77">
        <f t="shared" si="58"/>
        <v>0</v>
      </c>
      <c r="F219" s="77">
        <f t="shared" si="58"/>
        <v>0</v>
      </c>
      <c r="G219" s="77">
        <f t="shared" si="58"/>
        <v>0</v>
      </c>
      <c r="H219" s="77">
        <f t="shared" si="58"/>
        <v>0</v>
      </c>
      <c r="I219" s="77">
        <f t="shared" si="58"/>
        <v>0</v>
      </c>
      <c r="J219" s="77">
        <f t="shared" si="58"/>
        <v>0</v>
      </c>
      <c r="K219" s="75"/>
      <c r="L219" s="75"/>
      <c r="M219" s="75"/>
      <c r="N219" s="75"/>
      <c r="O219" s="75"/>
      <c r="P219" s="75"/>
      <c r="Q219" s="75"/>
      <c r="R219" s="75"/>
      <c r="S219" s="75"/>
      <c r="T219" s="75"/>
      <c r="U219" s="75"/>
      <c r="V219" s="75"/>
      <c r="W219" s="75"/>
    </row>
    <row r="220" spans="1:23">
      <c r="A220" s="424">
        <f t="shared" si="55"/>
        <v>0</v>
      </c>
      <c r="B220" s="76"/>
      <c r="C220" s="202"/>
      <c r="D220" s="77">
        <f t="shared" si="58"/>
        <v>0</v>
      </c>
      <c r="E220" s="77">
        <f t="shared" si="58"/>
        <v>0</v>
      </c>
      <c r="F220" s="77">
        <f t="shared" si="58"/>
        <v>0</v>
      </c>
      <c r="G220" s="77">
        <f t="shared" si="58"/>
        <v>0</v>
      </c>
      <c r="H220" s="77">
        <f t="shared" si="58"/>
        <v>0</v>
      </c>
      <c r="I220" s="77">
        <f t="shared" si="58"/>
        <v>0</v>
      </c>
      <c r="J220" s="77">
        <f t="shared" si="58"/>
        <v>0</v>
      </c>
      <c r="K220" s="75"/>
      <c r="L220" s="75"/>
      <c r="M220" s="75"/>
      <c r="N220" s="75"/>
      <c r="O220" s="75"/>
      <c r="P220" s="75"/>
      <c r="Q220" s="75"/>
      <c r="R220" s="75"/>
      <c r="S220" s="75"/>
      <c r="T220" s="75"/>
      <c r="U220" s="75"/>
      <c r="V220" s="75"/>
      <c r="W220" s="75"/>
    </row>
    <row r="221" spans="1:23">
      <c r="A221" s="76" t="str">
        <f t="shared" si="55"/>
        <v>Fruit  &amp; Vegetables Crop Production Details</v>
      </c>
      <c r="B221" s="76"/>
      <c r="C221" s="77"/>
      <c r="D221" s="77"/>
      <c r="E221" s="77"/>
      <c r="F221" s="77"/>
      <c r="G221" s="77"/>
      <c r="H221" s="77"/>
      <c r="I221" s="77"/>
      <c r="J221" s="77"/>
      <c r="K221" s="75"/>
      <c r="L221" s="75"/>
      <c r="M221" s="75"/>
      <c r="N221" s="75"/>
      <c r="O221" s="75"/>
      <c r="P221" s="75"/>
      <c r="Q221" s="75"/>
      <c r="R221" s="75"/>
      <c r="S221" s="75"/>
      <c r="T221" s="75"/>
      <c r="U221" s="75"/>
      <c r="V221" s="75"/>
      <c r="W221" s="75"/>
    </row>
    <row r="222" spans="1:23">
      <c r="A222" s="76" t="str">
        <f t="shared" si="55"/>
        <v>Onion</v>
      </c>
      <c r="B222" s="76"/>
      <c r="C222" s="202"/>
      <c r="D222" s="77">
        <f t="shared" ref="D222:J231" si="59">C86*$C222*D$124</f>
        <v>0</v>
      </c>
      <c r="E222" s="77">
        <f t="shared" si="59"/>
        <v>0</v>
      </c>
      <c r="F222" s="77">
        <f t="shared" si="59"/>
        <v>0</v>
      </c>
      <c r="G222" s="77">
        <f t="shared" si="59"/>
        <v>0</v>
      </c>
      <c r="H222" s="77">
        <f t="shared" si="59"/>
        <v>0</v>
      </c>
      <c r="I222" s="77">
        <f t="shared" si="59"/>
        <v>0</v>
      </c>
      <c r="J222" s="77">
        <f t="shared" si="59"/>
        <v>0</v>
      </c>
      <c r="K222" s="75"/>
      <c r="L222" s="75"/>
      <c r="M222" s="75"/>
      <c r="N222" s="75"/>
      <c r="O222" s="75"/>
      <c r="P222" s="75"/>
      <c r="Q222" s="75"/>
      <c r="R222" s="75"/>
      <c r="S222" s="75"/>
      <c r="T222" s="75"/>
      <c r="U222" s="75"/>
      <c r="V222" s="75"/>
      <c r="W222" s="75"/>
    </row>
    <row r="223" spans="1:23">
      <c r="A223" s="76" t="str">
        <f t="shared" si="55"/>
        <v>Tomato</v>
      </c>
      <c r="B223" s="76"/>
      <c r="C223" s="202"/>
      <c r="D223" s="77">
        <f t="shared" si="59"/>
        <v>0</v>
      </c>
      <c r="E223" s="77">
        <f t="shared" si="59"/>
        <v>0</v>
      </c>
      <c r="F223" s="77">
        <f t="shared" si="59"/>
        <v>0</v>
      </c>
      <c r="G223" s="77">
        <f t="shared" si="59"/>
        <v>0</v>
      </c>
      <c r="H223" s="77">
        <f t="shared" si="59"/>
        <v>0</v>
      </c>
      <c r="I223" s="77">
        <f t="shared" si="59"/>
        <v>0</v>
      </c>
      <c r="J223" s="77">
        <f t="shared" si="59"/>
        <v>0</v>
      </c>
      <c r="K223" s="75"/>
      <c r="L223" s="75"/>
      <c r="M223" s="75"/>
      <c r="N223" s="75"/>
      <c r="O223" s="75"/>
      <c r="P223" s="75"/>
      <c r="Q223" s="75"/>
      <c r="R223" s="75"/>
      <c r="S223" s="75"/>
      <c r="T223" s="75"/>
      <c r="U223" s="75"/>
      <c r="V223" s="75"/>
      <c r="W223" s="75"/>
    </row>
    <row r="224" spans="1:23">
      <c r="A224" s="76" t="str">
        <f t="shared" si="55"/>
        <v>Okra</v>
      </c>
      <c r="B224" s="76"/>
      <c r="C224" s="202"/>
      <c r="D224" s="77">
        <f t="shared" si="59"/>
        <v>0</v>
      </c>
      <c r="E224" s="77">
        <f t="shared" si="59"/>
        <v>0</v>
      </c>
      <c r="F224" s="77">
        <f t="shared" si="59"/>
        <v>0</v>
      </c>
      <c r="G224" s="77">
        <f t="shared" si="59"/>
        <v>0</v>
      </c>
      <c r="H224" s="77">
        <f t="shared" si="59"/>
        <v>0</v>
      </c>
      <c r="I224" s="77">
        <f t="shared" si="59"/>
        <v>0</v>
      </c>
      <c r="J224" s="77">
        <f t="shared" si="59"/>
        <v>0</v>
      </c>
      <c r="K224" s="75"/>
      <c r="L224" s="75"/>
      <c r="M224" s="75"/>
      <c r="N224" s="75"/>
      <c r="O224" s="75"/>
      <c r="P224" s="75"/>
      <c r="Q224" s="75"/>
      <c r="R224" s="75"/>
      <c r="S224" s="75"/>
      <c r="T224" s="75"/>
      <c r="U224" s="75"/>
      <c r="V224" s="75"/>
      <c r="W224" s="75"/>
    </row>
    <row r="225" spans="1:23">
      <c r="A225" s="76" t="str">
        <f t="shared" si="55"/>
        <v>Chilli</v>
      </c>
      <c r="B225" s="76"/>
      <c r="C225" s="202"/>
      <c r="D225" s="77">
        <f t="shared" si="59"/>
        <v>0</v>
      </c>
      <c r="E225" s="77">
        <f t="shared" si="59"/>
        <v>0</v>
      </c>
      <c r="F225" s="77">
        <f t="shared" si="59"/>
        <v>0</v>
      </c>
      <c r="G225" s="77">
        <f t="shared" si="59"/>
        <v>0</v>
      </c>
      <c r="H225" s="77">
        <f t="shared" si="59"/>
        <v>0</v>
      </c>
      <c r="I225" s="77">
        <f t="shared" si="59"/>
        <v>0</v>
      </c>
      <c r="J225" s="77">
        <f t="shared" si="59"/>
        <v>0</v>
      </c>
      <c r="K225" s="75"/>
      <c r="L225" s="75"/>
      <c r="M225" s="75"/>
      <c r="N225" s="75"/>
      <c r="O225" s="75"/>
      <c r="P225" s="75"/>
      <c r="Q225" s="75"/>
      <c r="R225" s="75"/>
      <c r="S225" s="75"/>
      <c r="T225" s="75"/>
      <c r="U225" s="75"/>
      <c r="V225" s="75"/>
      <c r="W225" s="75"/>
    </row>
    <row r="226" spans="1:23">
      <c r="A226" s="76" t="str">
        <f t="shared" si="55"/>
        <v>Potato</v>
      </c>
      <c r="B226" s="76"/>
      <c r="C226" s="202"/>
      <c r="D226" s="77">
        <f t="shared" si="59"/>
        <v>0</v>
      </c>
      <c r="E226" s="77">
        <f t="shared" si="59"/>
        <v>0</v>
      </c>
      <c r="F226" s="77">
        <f t="shared" si="59"/>
        <v>0</v>
      </c>
      <c r="G226" s="77">
        <f t="shared" si="59"/>
        <v>0</v>
      </c>
      <c r="H226" s="77">
        <f t="shared" si="59"/>
        <v>0</v>
      </c>
      <c r="I226" s="77">
        <f t="shared" si="59"/>
        <v>0</v>
      </c>
      <c r="J226" s="77">
        <f t="shared" si="59"/>
        <v>0</v>
      </c>
      <c r="K226" s="75"/>
      <c r="L226" s="75"/>
      <c r="M226" s="75"/>
      <c r="N226" s="75"/>
      <c r="O226" s="75"/>
      <c r="P226" s="75"/>
      <c r="Q226" s="75"/>
      <c r="R226" s="75"/>
      <c r="S226" s="75"/>
      <c r="T226" s="75"/>
      <c r="U226" s="75"/>
      <c r="V226" s="75"/>
      <c r="W226" s="75"/>
    </row>
    <row r="227" spans="1:23">
      <c r="A227" s="424">
        <f t="shared" si="55"/>
        <v>0</v>
      </c>
      <c r="B227" s="76"/>
      <c r="C227" s="202"/>
      <c r="D227" s="77">
        <f t="shared" si="59"/>
        <v>0</v>
      </c>
      <c r="E227" s="77">
        <f t="shared" si="59"/>
        <v>0</v>
      </c>
      <c r="F227" s="77">
        <f t="shared" si="59"/>
        <v>0</v>
      </c>
      <c r="G227" s="77">
        <f t="shared" si="59"/>
        <v>0</v>
      </c>
      <c r="H227" s="77">
        <f t="shared" si="59"/>
        <v>0</v>
      </c>
      <c r="I227" s="77">
        <f t="shared" si="59"/>
        <v>0</v>
      </c>
      <c r="J227" s="77">
        <f t="shared" si="59"/>
        <v>0</v>
      </c>
      <c r="K227" s="75"/>
      <c r="L227" s="75"/>
      <c r="M227" s="75"/>
      <c r="N227" s="75"/>
      <c r="O227" s="75"/>
      <c r="P227" s="75"/>
      <c r="Q227" s="75"/>
      <c r="R227" s="75"/>
      <c r="S227" s="75"/>
      <c r="T227" s="75"/>
      <c r="U227" s="75"/>
      <c r="V227" s="75"/>
      <c r="W227" s="75"/>
    </row>
    <row r="228" spans="1:23">
      <c r="A228" s="424">
        <f t="shared" si="55"/>
        <v>0</v>
      </c>
      <c r="B228" s="76"/>
      <c r="C228" s="202"/>
      <c r="D228" s="77">
        <f t="shared" si="59"/>
        <v>0</v>
      </c>
      <c r="E228" s="77">
        <f t="shared" si="59"/>
        <v>0</v>
      </c>
      <c r="F228" s="77">
        <f t="shared" si="59"/>
        <v>0</v>
      </c>
      <c r="G228" s="77">
        <f t="shared" si="59"/>
        <v>0</v>
      </c>
      <c r="H228" s="77">
        <f t="shared" si="59"/>
        <v>0</v>
      </c>
      <c r="I228" s="77">
        <f t="shared" si="59"/>
        <v>0</v>
      </c>
      <c r="J228" s="77">
        <f t="shared" si="59"/>
        <v>0</v>
      </c>
      <c r="K228" s="75"/>
      <c r="L228" s="75"/>
      <c r="M228" s="75"/>
      <c r="N228" s="75"/>
      <c r="O228" s="75"/>
      <c r="P228" s="75"/>
      <c r="Q228" s="75"/>
      <c r="R228" s="75"/>
      <c r="S228" s="75"/>
      <c r="T228" s="75"/>
      <c r="U228" s="75"/>
      <c r="V228" s="75"/>
      <c r="W228" s="75"/>
    </row>
    <row r="229" spans="1:23">
      <c r="A229" s="424">
        <f t="shared" si="55"/>
        <v>0</v>
      </c>
      <c r="B229" s="76"/>
      <c r="C229" s="202"/>
      <c r="D229" s="77">
        <f t="shared" si="59"/>
        <v>0</v>
      </c>
      <c r="E229" s="77">
        <f t="shared" si="59"/>
        <v>0</v>
      </c>
      <c r="F229" s="77">
        <f t="shared" si="59"/>
        <v>0</v>
      </c>
      <c r="G229" s="77">
        <f t="shared" si="59"/>
        <v>0</v>
      </c>
      <c r="H229" s="77">
        <f t="shared" si="59"/>
        <v>0</v>
      </c>
      <c r="I229" s="77">
        <f t="shared" si="59"/>
        <v>0</v>
      </c>
      <c r="J229" s="77">
        <f t="shared" si="59"/>
        <v>0</v>
      </c>
      <c r="K229" s="75"/>
      <c r="L229" s="75"/>
      <c r="M229" s="75"/>
      <c r="N229" s="75"/>
      <c r="O229" s="75"/>
      <c r="P229" s="75"/>
      <c r="Q229" s="75"/>
      <c r="R229" s="75"/>
      <c r="S229" s="75"/>
      <c r="T229" s="75"/>
      <c r="U229" s="75"/>
      <c r="V229" s="75"/>
      <c r="W229" s="75"/>
    </row>
    <row r="230" spans="1:23">
      <c r="A230" s="424">
        <f t="shared" si="55"/>
        <v>0</v>
      </c>
      <c r="B230" s="76"/>
      <c r="C230" s="202"/>
      <c r="D230" s="77">
        <f t="shared" si="59"/>
        <v>0</v>
      </c>
      <c r="E230" s="77">
        <f t="shared" si="59"/>
        <v>0</v>
      </c>
      <c r="F230" s="77">
        <f t="shared" si="59"/>
        <v>0</v>
      </c>
      <c r="G230" s="77">
        <f t="shared" si="59"/>
        <v>0</v>
      </c>
      <c r="H230" s="77">
        <f t="shared" si="59"/>
        <v>0</v>
      </c>
      <c r="I230" s="77">
        <f t="shared" si="59"/>
        <v>0</v>
      </c>
      <c r="J230" s="77">
        <f t="shared" si="59"/>
        <v>0</v>
      </c>
      <c r="K230" s="75"/>
      <c r="L230" s="75"/>
      <c r="M230" s="75"/>
      <c r="N230" s="75"/>
      <c r="O230" s="75"/>
      <c r="P230" s="75"/>
      <c r="Q230" s="75"/>
      <c r="R230" s="75"/>
      <c r="S230" s="75"/>
      <c r="T230" s="75"/>
      <c r="U230" s="75"/>
      <c r="V230" s="75"/>
      <c r="W230" s="75"/>
    </row>
    <row r="231" spans="1:23">
      <c r="A231" s="76" t="str">
        <f t="shared" si="55"/>
        <v>Onion</v>
      </c>
      <c r="B231" s="76"/>
      <c r="C231" s="202"/>
      <c r="D231" s="77">
        <f t="shared" si="59"/>
        <v>0</v>
      </c>
      <c r="E231" s="77">
        <f t="shared" si="59"/>
        <v>0</v>
      </c>
      <c r="F231" s="77">
        <f t="shared" si="59"/>
        <v>0</v>
      </c>
      <c r="G231" s="77">
        <f t="shared" si="59"/>
        <v>0</v>
      </c>
      <c r="H231" s="77">
        <f t="shared" si="59"/>
        <v>0</v>
      </c>
      <c r="I231" s="77">
        <f t="shared" si="59"/>
        <v>0</v>
      </c>
      <c r="J231" s="77">
        <f t="shared" si="59"/>
        <v>0</v>
      </c>
      <c r="K231" s="75"/>
      <c r="L231" s="75"/>
      <c r="M231" s="75"/>
      <c r="N231" s="75"/>
      <c r="O231" s="75"/>
      <c r="P231" s="75"/>
      <c r="Q231" s="75"/>
      <c r="R231" s="75"/>
      <c r="S231" s="75"/>
      <c r="T231" s="75"/>
      <c r="U231" s="75"/>
      <c r="V231" s="75"/>
      <c r="W231" s="75"/>
    </row>
    <row r="232" spans="1:23">
      <c r="A232" s="76" t="str">
        <f t="shared" si="55"/>
        <v>Tomato</v>
      </c>
      <c r="B232" s="76"/>
      <c r="C232" s="202"/>
      <c r="D232" s="77">
        <f t="shared" ref="D232:J239" si="60">C96*$C232*D$124</f>
        <v>0</v>
      </c>
      <c r="E232" s="77">
        <f t="shared" si="60"/>
        <v>0</v>
      </c>
      <c r="F232" s="77">
        <f t="shared" si="60"/>
        <v>0</v>
      </c>
      <c r="G232" s="77">
        <f t="shared" si="60"/>
        <v>0</v>
      </c>
      <c r="H232" s="77">
        <f t="shared" si="60"/>
        <v>0</v>
      </c>
      <c r="I232" s="77">
        <f t="shared" si="60"/>
        <v>0</v>
      </c>
      <c r="J232" s="77">
        <f t="shared" si="60"/>
        <v>0</v>
      </c>
      <c r="K232" s="75"/>
      <c r="L232" s="75"/>
      <c r="M232" s="75"/>
      <c r="N232" s="75"/>
      <c r="O232" s="75"/>
      <c r="P232" s="75"/>
      <c r="Q232" s="75"/>
      <c r="R232" s="75"/>
      <c r="S232" s="75"/>
      <c r="T232" s="75"/>
      <c r="U232" s="75"/>
      <c r="V232" s="75"/>
      <c r="W232" s="75"/>
    </row>
    <row r="233" spans="1:23">
      <c r="A233" s="76" t="str">
        <f t="shared" si="55"/>
        <v>Okra</v>
      </c>
      <c r="B233" s="76"/>
      <c r="C233" s="202"/>
      <c r="D233" s="77">
        <f t="shared" si="60"/>
        <v>0</v>
      </c>
      <c r="E233" s="77">
        <f t="shared" si="60"/>
        <v>0</v>
      </c>
      <c r="F233" s="77">
        <f t="shared" si="60"/>
        <v>0</v>
      </c>
      <c r="G233" s="77">
        <f t="shared" si="60"/>
        <v>0</v>
      </c>
      <c r="H233" s="77">
        <f t="shared" si="60"/>
        <v>0</v>
      </c>
      <c r="I233" s="77">
        <f t="shared" si="60"/>
        <v>0</v>
      </c>
      <c r="J233" s="77">
        <f t="shared" si="60"/>
        <v>0</v>
      </c>
      <c r="K233" s="75"/>
      <c r="L233" s="75"/>
      <c r="M233" s="75"/>
      <c r="N233" s="75"/>
      <c r="O233" s="75"/>
      <c r="P233" s="75"/>
      <c r="Q233" s="75"/>
      <c r="R233" s="75"/>
      <c r="S233" s="75"/>
      <c r="T233" s="75"/>
      <c r="U233" s="75"/>
      <c r="V233" s="75"/>
      <c r="W233" s="75"/>
    </row>
    <row r="234" spans="1:23">
      <c r="A234" s="76" t="str">
        <f t="shared" si="55"/>
        <v>Chilli</v>
      </c>
      <c r="B234" s="76"/>
      <c r="C234" s="202"/>
      <c r="D234" s="77">
        <f t="shared" si="60"/>
        <v>0</v>
      </c>
      <c r="E234" s="77">
        <f t="shared" si="60"/>
        <v>0</v>
      </c>
      <c r="F234" s="77">
        <f t="shared" si="60"/>
        <v>0</v>
      </c>
      <c r="G234" s="77">
        <f t="shared" si="60"/>
        <v>0</v>
      </c>
      <c r="H234" s="77">
        <f t="shared" si="60"/>
        <v>0</v>
      </c>
      <c r="I234" s="77">
        <f t="shared" si="60"/>
        <v>0</v>
      </c>
      <c r="J234" s="77">
        <f t="shared" si="60"/>
        <v>0</v>
      </c>
      <c r="K234" s="75"/>
      <c r="L234" s="75"/>
      <c r="M234" s="75"/>
      <c r="N234" s="75"/>
      <c r="O234" s="75"/>
      <c r="P234" s="75"/>
      <c r="Q234" s="75"/>
      <c r="R234" s="75"/>
      <c r="S234" s="75"/>
      <c r="T234" s="75"/>
      <c r="U234" s="75"/>
      <c r="V234" s="75"/>
      <c r="W234" s="75"/>
    </row>
    <row r="235" spans="1:23">
      <c r="A235" s="76" t="str">
        <f t="shared" si="55"/>
        <v>Brinjal</v>
      </c>
      <c r="B235" s="76"/>
      <c r="C235" s="202"/>
      <c r="D235" s="77">
        <f t="shared" si="60"/>
        <v>0</v>
      </c>
      <c r="E235" s="77">
        <f t="shared" si="60"/>
        <v>0</v>
      </c>
      <c r="F235" s="77">
        <f t="shared" si="60"/>
        <v>0</v>
      </c>
      <c r="G235" s="77">
        <f t="shared" si="60"/>
        <v>0</v>
      </c>
      <c r="H235" s="77">
        <f t="shared" si="60"/>
        <v>0</v>
      </c>
      <c r="I235" s="77">
        <f t="shared" si="60"/>
        <v>0</v>
      </c>
      <c r="J235" s="77">
        <f t="shared" si="60"/>
        <v>0</v>
      </c>
      <c r="K235" s="75"/>
      <c r="L235" s="75"/>
      <c r="M235" s="75"/>
      <c r="N235" s="75"/>
      <c r="O235" s="75"/>
      <c r="P235" s="75"/>
      <c r="Q235" s="75"/>
      <c r="R235" s="75"/>
      <c r="S235" s="75"/>
      <c r="T235" s="75"/>
      <c r="U235" s="75"/>
      <c r="V235" s="75"/>
      <c r="W235" s="75"/>
    </row>
    <row r="236" spans="1:23">
      <c r="A236" s="424">
        <f t="shared" si="55"/>
        <v>0</v>
      </c>
      <c r="B236" s="76"/>
      <c r="C236" s="202"/>
      <c r="D236" s="77">
        <f t="shared" si="60"/>
        <v>0</v>
      </c>
      <c r="E236" s="77">
        <f t="shared" si="60"/>
        <v>0</v>
      </c>
      <c r="F236" s="77">
        <f t="shared" si="60"/>
        <v>0</v>
      </c>
      <c r="G236" s="77">
        <f t="shared" si="60"/>
        <v>0</v>
      </c>
      <c r="H236" s="77">
        <f t="shared" si="60"/>
        <v>0</v>
      </c>
      <c r="I236" s="77">
        <f t="shared" si="60"/>
        <v>0</v>
      </c>
      <c r="J236" s="77">
        <f t="shared" si="60"/>
        <v>0</v>
      </c>
      <c r="K236" s="75"/>
      <c r="L236" s="75"/>
      <c r="M236" s="75"/>
      <c r="N236" s="75"/>
      <c r="O236" s="75"/>
      <c r="P236" s="75"/>
      <c r="Q236" s="75"/>
      <c r="R236" s="75"/>
      <c r="S236" s="75"/>
      <c r="T236" s="75"/>
      <c r="U236" s="75"/>
      <c r="V236" s="75"/>
      <c r="W236" s="75"/>
    </row>
    <row r="237" spans="1:23">
      <c r="A237" s="424">
        <f t="shared" si="55"/>
        <v>0</v>
      </c>
      <c r="B237" s="76"/>
      <c r="C237" s="202"/>
      <c r="D237" s="77">
        <f t="shared" si="60"/>
        <v>0</v>
      </c>
      <c r="E237" s="77">
        <f t="shared" si="60"/>
        <v>0</v>
      </c>
      <c r="F237" s="77">
        <f t="shared" si="60"/>
        <v>0</v>
      </c>
      <c r="G237" s="77">
        <f t="shared" si="60"/>
        <v>0</v>
      </c>
      <c r="H237" s="77">
        <f t="shared" si="60"/>
        <v>0</v>
      </c>
      <c r="I237" s="77">
        <f t="shared" si="60"/>
        <v>0</v>
      </c>
      <c r="J237" s="77">
        <f t="shared" si="60"/>
        <v>0</v>
      </c>
      <c r="K237" s="75"/>
      <c r="L237" s="75"/>
      <c r="M237" s="75"/>
      <c r="N237" s="75"/>
      <c r="O237" s="75"/>
      <c r="P237" s="75"/>
      <c r="Q237" s="75"/>
      <c r="R237" s="75"/>
      <c r="S237" s="75"/>
      <c r="T237" s="75"/>
      <c r="U237" s="75"/>
      <c r="V237" s="75"/>
      <c r="W237" s="75"/>
    </row>
    <row r="238" spans="1:23">
      <c r="A238" s="424">
        <f t="shared" si="55"/>
        <v>0</v>
      </c>
      <c r="B238" s="76"/>
      <c r="C238" s="202"/>
      <c r="D238" s="77">
        <f t="shared" si="60"/>
        <v>0</v>
      </c>
      <c r="E238" s="77">
        <f t="shared" si="60"/>
        <v>0</v>
      </c>
      <c r="F238" s="77">
        <f t="shared" si="60"/>
        <v>0</v>
      </c>
      <c r="G238" s="77">
        <f t="shared" si="60"/>
        <v>0</v>
      </c>
      <c r="H238" s="77">
        <f t="shared" si="60"/>
        <v>0</v>
      </c>
      <c r="I238" s="77">
        <f t="shared" si="60"/>
        <v>0</v>
      </c>
      <c r="J238" s="77">
        <f t="shared" si="60"/>
        <v>0</v>
      </c>
      <c r="K238" s="75"/>
      <c r="L238" s="75"/>
      <c r="M238" s="75"/>
      <c r="N238" s="75"/>
      <c r="O238" s="75"/>
      <c r="P238" s="75"/>
      <c r="Q238" s="75"/>
      <c r="R238" s="75"/>
      <c r="S238" s="75"/>
      <c r="T238" s="75"/>
      <c r="U238" s="75"/>
      <c r="V238" s="75"/>
      <c r="W238" s="75"/>
    </row>
    <row r="239" spans="1:23">
      <c r="A239" s="424">
        <f t="shared" si="55"/>
        <v>0</v>
      </c>
      <c r="B239" s="76"/>
      <c r="C239" s="202"/>
      <c r="D239" s="77">
        <f t="shared" si="60"/>
        <v>0</v>
      </c>
      <c r="E239" s="77">
        <f t="shared" si="60"/>
        <v>0</v>
      </c>
      <c r="F239" s="77">
        <f t="shared" si="60"/>
        <v>0</v>
      </c>
      <c r="G239" s="77">
        <f t="shared" si="60"/>
        <v>0</v>
      </c>
      <c r="H239" s="77">
        <f t="shared" si="60"/>
        <v>0</v>
      </c>
      <c r="I239" s="77">
        <f t="shared" si="60"/>
        <v>0</v>
      </c>
      <c r="J239" s="77">
        <f t="shared" si="60"/>
        <v>0</v>
      </c>
      <c r="K239" s="75"/>
      <c r="L239" s="75"/>
      <c r="M239" s="75"/>
      <c r="N239" s="75"/>
      <c r="O239" s="75"/>
      <c r="P239" s="75"/>
      <c r="Q239" s="75"/>
      <c r="R239" s="75"/>
      <c r="S239" s="75"/>
      <c r="T239" s="75"/>
      <c r="U239" s="75"/>
      <c r="V239" s="75"/>
      <c r="W239" s="75"/>
    </row>
    <row r="240" spans="1:23">
      <c r="A240" s="76" t="str">
        <f>A175</f>
        <v>Pomegranate</v>
      </c>
      <c r="B240" s="76"/>
      <c r="C240" s="202"/>
      <c r="D240" s="77">
        <f t="shared" ref="D240:J244" si="61">C107*$C240*D$124</f>
        <v>0</v>
      </c>
      <c r="E240" s="77">
        <f t="shared" si="61"/>
        <v>0</v>
      </c>
      <c r="F240" s="77">
        <f t="shared" si="61"/>
        <v>0</v>
      </c>
      <c r="G240" s="77">
        <f t="shared" si="61"/>
        <v>0</v>
      </c>
      <c r="H240" s="77">
        <f t="shared" si="61"/>
        <v>0</v>
      </c>
      <c r="I240" s="77">
        <f t="shared" si="61"/>
        <v>0</v>
      </c>
      <c r="J240" s="77">
        <f t="shared" si="61"/>
        <v>0</v>
      </c>
      <c r="K240" s="75"/>
      <c r="L240" s="75"/>
      <c r="M240" s="75"/>
      <c r="N240" s="75"/>
      <c r="O240" s="75"/>
      <c r="P240" s="75"/>
      <c r="Q240" s="75"/>
      <c r="R240" s="75"/>
      <c r="S240" s="75"/>
      <c r="T240" s="75"/>
      <c r="U240" s="75"/>
      <c r="V240" s="75"/>
      <c r="W240" s="75"/>
    </row>
    <row r="241" spans="1:23">
      <c r="A241" s="76" t="str">
        <f>A176</f>
        <v>Custard Apple</v>
      </c>
      <c r="B241" s="76"/>
      <c r="C241" s="202"/>
      <c r="D241" s="77">
        <f t="shared" si="61"/>
        <v>0</v>
      </c>
      <c r="E241" s="77">
        <f t="shared" si="61"/>
        <v>0</v>
      </c>
      <c r="F241" s="77">
        <f t="shared" si="61"/>
        <v>0</v>
      </c>
      <c r="G241" s="77">
        <f t="shared" si="61"/>
        <v>0</v>
      </c>
      <c r="H241" s="77">
        <f t="shared" si="61"/>
        <v>0</v>
      </c>
      <c r="I241" s="77">
        <f t="shared" si="61"/>
        <v>0</v>
      </c>
      <c r="J241" s="77">
        <f t="shared" si="61"/>
        <v>0</v>
      </c>
      <c r="K241" s="75"/>
      <c r="L241" s="75"/>
      <c r="M241" s="75"/>
      <c r="N241" s="75"/>
      <c r="O241" s="75"/>
      <c r="P241" s="75"/>
      <c r="Q241" s="75"/>
      <c r="R241" s="75"/>
      <c r="S241" s="75"/>
      <c r="T241" s="75"/>
      <c r="U241" s="75"/>
      <c r="V241" s="75"/>
      <c r="W241" s="75"/>
    </row>
    <row r="242" spans="1:23">
      <c r="A242" s="76" t="str">
        <f>A177</f>
        <v>Guava</v>
      </c>
      <c r="B242" s="76"/>
      <c r="C242" s="202"/>
      <c r="D242" s="77">
        <f t="shared" si="61"/>
        <v>0</v>
      </c>
      <c r="E242" s="77">
        <f t="shared" si="61"/>
        <v>0</v>
      </c>
      <c r="F242" s="77">
        <f t="shared" si="61"/>
        <v>0</v>
      </c>
      <c r="G242" s="77">
        <f t="shared" si="61"/>
        <v>0</v>
      </c>
      <c r="H242" s="77">
        <f t="shared" si="61"/>
        <v>0</v>
      </c>
      <c r="I242" s="77">
        <f t="shared" si="61"/>
        <v>0</v>
      </c>
      <c r="J242" s="77">
        <f t="shared" si="61"/>
        <v>0</v>
      </c>
      <c r="K242" s="75"/>
      <c r="L242" s="75"/>
      <c r="M242" s="75"/>
      <c r="N242" s="75"/>
      <c r="O242" s="75"/>
      <c r="P242" s="75"/>
      <c r="Q242" s="75"/>
      <c r="R242" s="75"/>
      <c r="S242" s="75"/>
      <c r="T242" s="75"/>
      <c r="U242" s="75"/>
      <c r="V242" s="75"/>
      <c r="W242" s="75"/>
    </row>
    <row r="243" spans="1:23">
      <c r="A243" s="76" t="str">
        <f>A178</f>
        <v>Citrus</v>
      </c>
      <c r="B243" s="76"/>
      <c r="C243" s="202"/>
      <c r="D243" s="77">
        <f t="shared" si="61"/>
        <v>0</v>
      </c>
      <c r="E243" s="77">
        <f t="shared" si="61"/>
        <v>0</v>
      </c>
      <c r="F243" s="77">
        <f t="shared" si="61"/>
        <v>0</v>
      </c>
      <c r="G243" s="77">
        <f t="shared" si="61"/>
        <v>0</v>
      </c>
      <c r="H243" s="77">
        <f t="shared" si="61"/>
        <v>0</v>
      </c>
      <c r="I243" s="77">
        <f t="shared" si="61"/>
        <v>0</v>
      </c>
      <c r="J243" s="77">
        <f t="shared" si="61"/>
        <v>0</v>
      </c>
      <c r="K243" s="75"/>
      <c r="L243" s="75"/>
      <c r="M243" s="75"/>
      <c r="N243" s="75"/>
      <c r="O243" s="75"/>
      <c r="P243" s="75"/>
      <c r="Q243" s="75"/>
      <c r="R243" s="75"/>
      <c r="S243" s="75"/>
      <c r="T243" s="75"/>
      <c r="U243" s="75"/>
      <c r="V243" s="75"/>
      <c r="W243" s="75"/>
    </row>
    <row r="244" spans="1:23">
      <c r="A244" s="424">
        <f>A179</f>
        <v>0</v>
      </c>
      <c r="B244" s="76"/>
      <c r="C244" s="202"/>
      <c r="D244" s="77">
        <f t="shared" si="61"/>
        <v>0</v>
      </c>
      <c r="E244" s="77">
        <f t="shared" si="61"/>
        <v>0</v>
      </c>
      <c r="F244" s="77">
        <f t="shared" si="61"/>
        <v>0</v>
      </c>
      <c r="G244" s="77">
        <f t="shared" si="61"/>
        <v>0</v>
      </c>
      <c r="H244" s="77">
        <f t="shared" si="61"/>
        <v>0</v>
      </c>
      <c r="I244" s="77">
        <f t="shared" si="61"/>
        <v>0</v>
      </c>
      <c r="J244" s="77">
        <f t="shared" si="61"/>
        <v>0</v>
      </c>
      <c r="K244" s="75"/>
      <c r="L244" s="75"/>
      <c r="M244" s="75"/>
      <c r="N244" s="75"/>
      <c r="O244" s="75"/>
      <c r="P244" s="75"/>
      <c r="Q244" s="75"/>
      <c r="R244" s="75"/>
      <c r="S244" s="75"/>
      <c r="T244" s="75"/>
      <c r="U244" s="75"/>
      <c r="V244" s="75"/>
      <c r="W244" s="75"/>
    </row>
    <row r="245" spans="1:23">
      <c r="A245" s="76" t="str">
        <f>A181</f>
        <v>Fertilizer(Rate/KG)</v>
      </c>
      <c r="B245" s="76"/>
      <c r="C245" s="77"/>
      <c r="D245" s="77"/>
      <c r="E245" s="77"/>
      <c r="F245" s="77"/>
      <c r="G245" s="77"/>
      <c r="H245" s="77"/>
      <c r="I245" s="77"/>
      <c r="J245" s="77"/>
      <c r="K245" s="75"/>
      <c r="L245" s="75"/>
      <c r="M245" s="75"/>
      <c r="N245" s="75"/>
      <c r="O245" s="75"/>
      <c r="P245" s="75"/>
      <c r="Q245" s="75"/>
      <c r="R245" s="75"/>
      <c r="S245" s="75"/>
      <c r="T245" s="75"/>
      <c r="U245" s="75"/>
      <c r="V245" s="75"/>
      <c r="W245" s="75"/>
    </row>
    <row r="246" spans="1:23">
      <c r="A246" s="76" t="str">
        <f>A182</f>
        <v>SSP</v>
      </c>
      <c r="B246" s="76"/>
      <c r="C246" s="202">
        <v>6</v>
      </c>
      <c r="D246" s="77">
        <f t="shared" ref="D246:J246" si="62">C114*$C$246*D124</f>
        <v>0</v>
      </c>
      <c r="E246" s="77">
        <f t="shared" si="62"/>
        <v>0</v>
      </c>
      <c r="F246" s="77">
        <f t="shared" si="62"/>
        <v>0</v>
      </c>
      <c r="G246" s="77">
        <f t="shared" si="62"/>
        <v>0</v>
      </c>
      <c r="H246" s="77">
        <f t="shared" si="62"/>
        <v>0</v>
      </c>
      <c r="I246" s="77">
        <f t="shared" si="62"/>
        <v>0</v>
      </c>
      <c r="J246" s="77">
        <f t="shared" si="62"/>
        <v>0</v>
      </c>
      <c r="K246" s="75"/>
      <c r="L246" s="75"/>
      <c r="M246" s="75"/>
      <c r="N246" s="75"/>
      <c r="O246" s="75"/>
      <c r="P246" s="75"/>
      <c r="Q246" s="75"/>
      <c r="R246" s="75"/>
      <c r="S246" s="75"/>
      <c r="T246" s="75"/>
      <c r="U246" s="75"/>
      <c r="V246" s="75"/>
      <c r="W246" s="75"/>
    </row>
    <row r="247" spans="1:23">
      <c r="A247" s="76" t="str">
        <f>A183</f>
        <v>Urea</v>
      </c>
      <c r="B247" s="76"/>
      <c r="C247" s="202">
        <v>5</v>
      </c>
      <c r="D247" s="77">
        <f t="shared" ref="D247:J247" si="63">C115*$C$247*D124</f>
        <v>0</v>
      </c>
      <c r="E247" s="77">
        <f t="shared" si="63"/>
        <v>0</v>
      </c>
      <c r="F247" s="77">
        <f t="shared" si="63"/>
        <v>0</v>
      </c>
      <c r="G247" s="77">
        <f t="shared" si="63"/>
        <v>0</v>
      </c>
      <c r="H247" s="77">
        <f t="shared" si="63"/>
        <v>0</v>
      </c>
      <c r="I247" s="77">
        <f t="shared" si="63"/>
        <v>0</v>
      </c>
      <c r="J247" s="77">
        <f t="shared" si="63"/>
        <v>0</v>
      </c>
      <c r="K247" s="75"/>
      <c r="L247" s="75"/>
      <c r="M247" s="75"/>
      <c r="N247" s="75"/>
      <c r="O247" s="75"/>
      <c r="P247" s="75"/>
      <c r="Q247" s="75"/>
      <c r="R247" s="75"/>
      <c r="S247" s="75"/>
      <c r="T247" s="75"/>
      <c r="U247" s="75"/>
      <c r="V247" s="75"/>
      <c r="W247" s="75"/>
    </row>
    <row r="248" spans="1:23">
      <c r="A248" s="76" t="str">
        <f>A184</f>
        <v>DAP</v>
      </c>
      <c r="B248" s="76"/>
      <c r="C248" s="202">
        <v>27</v>
      </c>
      <c r="D248" s="77">
        <f t="shared" ref="D248:J248" si="64">C116*$C$248*D124</f>
        <v>0</v>
      </c>
      <c r="E248" s="77">
        <f t="shared" si="64"/>
        <v>0</v>
      </c>
      <c r="F248" s="77">
        <f t="shared" si="64"/>
        <v>0</v>
      </c>
      <c r="G248" s="77">
        <f t="shared" si="64"/>
        <v>0</v>
      </c>
      <c r="H248" s="77">
        <f t="shared" si="64"/>
        <v>0</v>
      </c>
      <c r="I248" s="77">
        <f t="shared" si="64"/>
        <v>0</v>
      </c>
      <c r="J248" s="77">
        <f t="shared" si="64"/>
        <v>0</v>
      </c>
      <c r="K248" s="75"/>
      <c r="L248" s="75"/>
      <c r="M248" s="75"/>
      <c r="N248" s="75"/>
      <c r="O248" s="75"/>
      <c r="P248" s="75"/>
      <c r="Q248" s="75"/>
      <c r="R248" s="75"/>
      <c r="S248" s="75"/>
      <c r="T248" s="75"/>
      <c r="U248" s="75"/>
      <c r="V248" s="75"/>
      <c r="W248" s="75"/>
    </row>
    <row r="249" spans="1:23">
      <c r="A249" s="76"/>
      <c r="B249" s="76"/>
      <c r="C249" s="77"/>
      <c r="D249" s="77"/>
      <c r="E249" s="77"/>
      <c r="F249" s="77"/>
      <c r="G249" s="77"/>
      <c r="H249" s="77"/>
      <c r="I249" s="77"/>
      <c r="J249" s="77"/>
      <c r="K249" s="75"/>
      <c r="L249" s="75"/>
      <c r="M249" s="75"/>
      <c r="N249" s="75"/>
      <c r="O249" s="75"/>
      <c r="P249" s="75"/>
      <c r="Q249" s="75"/>
      <c r="R249" s="75"/>
      <c r="S249" s="75"/>
      <c r="T249" s="75"/>
      <c r="U249" s="75"/>
      <c r="V249" s="75"/>
      <c r="W249" s="75"/>
    </row>
    <row r="250" spans="1:23">
      <c r="A250" s="76" t="str">
        <f>A186</f>
        <v>Pesticide</v>
      </c>
      <c r="B250" s="76"/>
      <c r="C250" s="77"/>
      <c r="D250" s="77"/>
      <c r="E250" s="77"/>
      <c r="F250" s="77"/>
      <c r="G250" s="77"/>
      <c r="H250" s="77"/>
      <c r="I250" s="77"/>
      <c r="J250" s="77"/>
      <c r="K250" s="75"/>
      <c r="L250" s="75"/>
      <c r="M250" s="75"/>
      <c r="N250" s="75"/>
      <c r="O250" s="75"/>
      <c r="P250" s="75"/>
      <c r="Q250" s="75"/>
      <c r="R250" s="75"/>
      <c r="S250" s="75"/>
      <c r="T250" s="75"/>
      <c r="U250" s="75"/>
      <c r="V250" s="75"/>
      <c r="W250" s="75"/>
    </row>
    <row r="251" spans="1:23">
      <c r="A251" s="76" t="str">
        <f>A187</f>
        <v>Dupont Coragen</v>
      </c>
      <c r="B251" s="76"/>
      <c r="C251" s="202">
        <v>2800</v>
      </c>
      <c r="D251" s="77">
        <f t="shared" ref="D251:J251" si="65">C118*$C$251*D124</f>
        <v>0</v>
      </c>
      <c r="E251" s="77">
        <f t="shared" si="65"/>
        <v>0</v>
      </c>
      <c r="F251" s="77">
        <f t="shared" si="65"/>
        <v>0</v>
      </c>
      <c r="G251" s="77">
        <f t="shared" si="65"/>
        <v>0</v>
      </c>
      <c r="H251" s="77">
        <f t="shared" si="65"/>
        <v>0</v>
      </c>
      <c r="I251" s="77">
        <f t="shared" si="65"/>
        <v>0</v>
      </c>
      <c r="J251" s="77">
        <f t="shared" si="65"/>
        <v>0</v>
      </c>
      <c r="K251" s="75"/>
      <c r="L251" s="75"/>
      <c r="M251" s="75"/>
      <c r="N251" s="75"/>
      <c r="O251" s="75"/>
      <c r="P251" s="75"/>
      <c r="Q251" s="75"/>
      <c r="R251" s="75"/>
      <c r="S251" s="75"/>
      <c r="T251" s="75"/>
      <c r="U251" s="75"/>
      <c r="V251" s="75"/>
      <c r="W251" s="75"/>
    </row>
    <row r="252" spans="1:23">
      <c r="A252" s="76" t="str">
        <f>A188</f>
        <v>Confidor Boyer</v>
      </c>
      <c r="B252" s="76"/>
      <c r="C252" s="202">
        <v>2000</v>
      </c>
      <c r="D252" s="77">
        <f t="shared" ref="D252:J252" si="66">C119*$C$252*D124</f>
        <v>0</v>
      </c>
      <c r="E252" s="77">
        <f t="shared" si="66"/>
        <v>0</v>
      </c>
      <c r="F252" s="77">
        <f t="shared" si="66"/>
        <v>0</v>
      </c>
      <c r="G252" s="77">
        <f t="shared" si="66"/>
        <v>0</v>
      </c>
      <c r="H252" s="77">
        <f t="shared" si="66"/>
        <v>0</v>
      </c>
      <c r="I252" s="77">
        <f t="shared" si="66"/>
        <v>0</v>
      </c>
      <c r="J252" s="77">
        <f t="shared" si="66"/>
        <v>0</v>
      </c>
      <c r="K252" s="75"/>
      <c r="L252" s="75"/>
      <c r="M252" s="75"/>
      <c r="N252" s="75"/>
      <c r="O252" s="75"/>
      <c r="P252" s="75"/>
      <c r="Q252" s="75"/>
      <c r="R252" s="75"/>
      <c r="S252" s="75"/>
      <c r="T252" s="75"/>
      <c r="U252" s="75"/>
      <c r="V252" s="75"/>
      <c r="W252" s="75"/>
    </row>
    <row r="253" spans="1:23">
      <c r="A253" s="76"/>
      <c r="B253" s="76"/>
      <c r="C253" s="77"/>
      <c r="D253" s="77"/>
      <c r="E253" s="77"/>
      <c r="F253" s="77"/>
      <c r="G253" s="77"/>
      <c r="H253" s="77"/>
      <c r="I253" s="77"/>
      <c r="J253" s="77"/>
      <c r="K253" s="75"/>
      <c r="L253" s="75"/>
      <c r="M253" s="75"/>
      <c r="N253" s="75"/>
      <c r="O253" s="75"/>
      <c r="P253" s="75"/>
      <c r="Q253" s="75"/>
      <c r="R253" s="75"/>
      <c r="S253" s="75"/>
      <c r="T253" s="75"/>
      <c r="U253" s="75"/>
      <c r="V253" s="75"/>
      <c r="W253" s="75"/>
    </row>
    <row r="254" spans="1:23">
      <c r="A254" s="76" t="s">
        <v>284</v>
      </c>
      <c r="B254" s="76"/>
      <c r="C254" s="202">
        <v>10</v>
      </c>
      <c r="D254" s="77">
        <f t="shared" ref="D254:J254" si="67">(SUM(C63:C119)/50)*$C$254*D124</f>
        <v>0</v>
      </c>
      <c r="E254" s="77">
        <f t="shared" si="67"/>
        <v>0</v>
      </c>
      <c r="F254" s="77">
        <f t="shared" si="67"/>
        <v>0</v>
      </c>
      <c r="G254" s="77">
        <f t="shared" si="67"/>
        <v>0</v>
      </c>
      <c r="H254" s="77">
        <f t="shared" si="67"/>
        <v>0</v>
      </c>
      <c r="I254" s="77">
        <f t="shared" si="67"/>
        <v>0</v>
      </c>
      <c r="J254" s="77">
        <f t="shared" si="67"/>
        <v>0</v>
      </c>
      <c r="K254" s="75"/>
      <c r="L254" s="75"/>
      <c r="M254" s="75"/>
      <c r="N254" s="75"/>
      <c r="O254" s="75"/>
      <c r="P254" s="75"/>
      <c r="Q254" s="75"/>
      <c r="R254" s="75"/>
      <c r="S254" s="75"/>
      <c r="T254" s="75"/>
      <c r="U254" s="75"/>
      <c r="V254" s="75"/>
      <c r="W254" s="75"/>
    </row>
    <row r="255" spans="1:23">
      <c r="A255" s="76" t="s">
        <v>169</v>
      </c>
      <c r="B255" s="76"/>
      <c r="C255" s="202">
        <v>100</v>
      </c>
      <c r="D255" s="77">
        <f t="shared" ref="D255:J255" si="68">(SUM(C63:C119)/50)*$C$255*D124</f>
        <v>0</v>
      </c>
      <c r="E255" s="77">
        <f t="shared" si="68"/>
        <v>0</v>
      </c>
      <c r="F255" s="77">
        <f t="shared" si="68"/>
        <v>0</v>
      </c>
      <c r="G255" s="77">
        <f t="shared" si="68"/>
        <v>0</v>
      </c>
      <c r="H255" s="77">
        <f t="shared" si="68"/>
        <v>0</v>
      </c>
      <c r="I255" s="77">
        <f t="shared" si="68"/>
        <v>0</v>
      </c>
      <c r="J255" s="77">
        <f t="shared" si="68"/>
        <v>0</v>
      </c>
      <c r="K255" s="75"/>
      <c r="L255" s="75"/>
      <c r="M255" s="75"/>
      <c r="N255" s="75"/>
      <c r="O255" s="75"/>
      <c r="P255" s="75"/>
      <c r="Q255" s="75"/>
      <c r="R255" s="75"/>
      <c r="S255" s="75"/>
      <c r="T255" s="75"/>
      <c r="U255" s="75"/>
      <c r="V255" s="75"/>
      <c r="W255" s="75"/>
    </row>
    <row r="256" spans="1:23">
      <c r="A256" s="76"/>
      <c r="B256" s="76"/>
      <c r="C256" s="202"/>
      <c r="D256" s="177"/>
      <c r="E256" s="77"/>
      <c r="F256" s="77"/>
      <c r="G256" s="77"/>
      <c r="H256" s="77"/>
      <c r="I256" s="77"/>
      <c r="J256" s="77"/>
      <c r="K256" s="75"/>
      <c r="L256" s="75"/>
      <c r="M256" s="75"/>
      <c r="N256" s="75"/>
      <c r="O256" s="75"/>
      <c r="P256" s="75"/>
      <c r="Q256" s="75"/>
      <c r="R256" s="75"/>
      <c r="S256" s="75"/>
      <c r="T256" s="75"/>
      <c r="U256" s="75"/>
      <c r="V256" s="75"/>
      <c r="W256" s="75"/>
    </row>
    <row r="257" spans="1:23">
      <c r="A257" s="76"/>
      <c r="B257" s="76"/>
      <c r="C257" s="202"/>
      <c r="D257" s="177"/>
      <c r="E257" s="77"/>
      <c r="F257" s="77"/>
      <c r="G257" s="77"/>
      <c r="H257" s="77"/>
      <c r="I257" s="77"/>
      <c r="J257" s="77"/>
      <c r="K257" s="75"/>
      <c r="L257" s="75"/>
      <c r="M257" s="75"/>
      <c r="N257" s="75"/>
      <c r="O257" s="75"/>
      <c r="P257" s="75"/>
      <c r="Q257" s="75"/>
      <c r="R257" s="75"/>
      <c r="S257" s="75"/>
      <c r="T257" s="75"/>
      <c r="U257" s="75"/>
      <c r="V257" s="75"/>
      <c r="W257" s="75"/>
    </row>
    <row r="258" spans="1:23">
      <c r="A258" s="76"/>
      <c r="B258" s="76"/>
      <c r="C258" s="202"/>
      <c r="D258" s="177"/>
      <c r="E258" s="77"/>
      <c r="F258" s="77"/>
      <c r="G258" s="77"/>
      <c r="H258" s="77"/>
      <c r="I258" s="77"/>
      <c r="J258" s="77"/>
      <c r="K258" s="75"/>
      <c r="L258" s="75"/>
      <c r="M258" s="75"/>
      <c r="N258" s="75"/>
      <c r="O258" s="75"/>
      <c r="P258" s="75"/>
      <c r="Q258" s="75"/>
      <c r="R258" s="75"/>
      <c r="S258" s="75"/>
      <c r="T258" s="75"/>
      <c r="U258" s="75"/>
      <c r="V258" s="75"/>
      <c r="W258" s="75"/>
    </row>
    <row r="259" spans="1:23">
      <c r="A259" s="76"/>
      <c r="B259" s="76"/>
      <c r="C259" s="202"/>
      <c r="D259" s="177"/>
      <c r="E259" s="77"/>
      <c r="F259" s="77"/>
      <c r="G259" s="77"/>
      <c r="H259" s="77"/>
      <c r="I259" s="77"/>
      <c r="J259" s="77"/>
      <c r="K259" s="75"/>
      <c r="L259" s="75"/>
      <c r="M259" s="75"/>
      <c r="N259" s="75"/>
      <c r="O259" s="75"/>
      <c r="P259" s="75"/>
      <c r="Q259" s="75"/>
      <c r="R259" s="75"/>
      <c r="S259" s="75"/>
      <c r="T259" s="75"/>
      <c r="U259" s="75"/>
      <c r="V259" s="75"/>
      <c r="W259" s="75"/>
    </row>
    <row r="260" spans="1:23">
      <c r="A260" s="76" t="s">
        <v>330</v>
      </c>
      <c r="B260" s="76"/>
      <c r="C260" s="77"/>
      <c r="D260" s="177"/>
      <c r="E260" s="77">
        <f>'5.Closing Stock &amp; W Capital'!F6</f>
        <v>0</v>
      </c>
      <c r="F260" s="77">
        <f>'5.Closing Stock &amp; W Capital'!G6</f>
        <v>0</v>
      </c>
      <c r="G260" s="77">
        <f>'5.Closing Stock &amp; W Capital'!H6</f>
        <v>0</v>
      </c>
      <c r="H260" s="77">
        <f>'5.Closing Stock &amp; W Capital'!I6</f>
        <v>0</v>
      </c>
      <c r="I260" s="77">
        <f>'5.Closing Stock &amp; W Capital'!J6</f>
        <v>0</v>
      </c>
      <c r="J260" s="77">
        <f>'5.Closing Stock &amp; W Capital'!K6</f>
        <v>0</v>
      </c>
      <c r="K260" s="75"/>
      <c r="L260" s="75"/>
      <c r="M260" s="75"/>
      <c r="N260" s="75"/>
      <c r="O260" s="75"/>
      <c r="P260" s="75"/>
      <c r="Q260" s="75"/>
      <c r="R260" s="75"/>
      <c r="S260" s="75"/>
      <c r="T260" s="75"/>
      <c r="U260" s="75"/>
      <c r="V260" s="75"/>
      <c r="W260" s="75"/>
    </row>
    <row r="261" spans="1:23">
      <c r="A261" s="80" t="s">
        <v>331</v>
      </c>
      <c r="B261" s="76"/>
      <c r="C261" s="76"/>
      <c r="D261" s="177">
        <f>'5.Closing Stock &amp; W Capital'!E15</f>
        <v>0</v>
      </c>
      <c r="E261" s="77">
        <f>'5.Closing Stock &amp; W Capital'!F15</f>
        <v>0</v>
      </c>
      <c r="F261" s="77">
        <f>'5.Closing Stock &amp; W Capital'!G15</f>
        <v>0</v>
      </c>
      <c r="G261" s="77">
        <f>'5.Closing Stock &amp; W Capital'!H15</f>
        <v>0</v>
      </c>
      <c r="H261" s="77">
        <f>'5.Closing Stock &amp; W Capital'!I15</f>
        <v>0</v>
      </c>
      <c r="I261" s="77">
        <f>'5.Closing Stock &amp; W Capital'!J15</f>
        <v>0</v>
      </c>
      <c r="J261" s="77">
        <f>'5.Closing Stock &amp; W Capital'!K15</f>
        <v>0</v>
      </c>
      <c r="K261" s="75"/>
      <c r="L261" s="75"/>
      <c r="M261" s="75"/>
      <c r="N261" s="75"/>
      <c r="O261" s="75"/>
      <c r="P261" s="75"/>
      <c r="Q261" s="75"/>
      <c r="R261" s="75"/>
      <c r="S261" s="75"/>
      <c r="T261" s="75"/>
      <c r="U261" s="75"/>
      <c r="V261" s="75"/>
      <c r="W261" s="75"/>
    </row>
    <row r="262" spans="1:23">
      <c r="A262" s="76"/>
      <c r="B262" s="76"/>
      <c r="C262" s="76"/>
      <c r="D262" s="75"/>
      <c r="E262" s="75"/>
      <c r="F262" s="75"/>
      <c r="G262" s="75"/>
      <c r="H262" s="75"/>
      <c r="I262" s="75"/>
      <c r="J262" s="75"/>
      <c r="K262" s="75"/>
      <c r="L262" s="75"/>
      <c r="M262" s="75"/>
      <c r="N262" s="75"/>
      <c r="O262" s="75"/>
      <c r="P262" s="75"/>
      <c r="Q262" s="75"/>
      <c r="R262" s="75"/>
      <c r="S262" s="75"/>
      <c r="T262" s="75"/>
      <c r="U262" s="75"/>
      <c r="V262" s="75"/>
      <c r="W262" s="75"/>
    </row>
    <row r="263" spans="1:23">
      <c r="A263" s="78" t="s">
        <v>310</v>
      </c>
      <c r="B263" s="78"/>
      <c r="C263" s="96"/>
      <c r="D263" s="96">
        <f>SUM(D198:D259)+D260-D261</f>
        <v>0</v>
      </c>
      <c r="E263" s="96">
        <f t="shared" ref="E263:J263" si="69">SUM(E198:E259)+E260-E261</f>
        <v>0</v>
      </c>
      <c r="F263" s="96">
        <f t="shared" si="69"/>
        <v>0</v>
      </c>
      <c r="G263" s="96">
        <f t="shared" si="69"/>
        <v>0</v>
      </c>
      <c r="H263" s="96">
        <f t="shared" si="69"/>
        <v>0</v>
      </c>
      <c r="I263" s="96">
        <f t="shared" si="69"/>
        <v>0</v>
      </c>
      <c r="J263" s="96">
        <f t="shared" si="69"/>
        <v>0</v>
      </c>
      <c r="K263" s="75"/>
      <c r="L263" s="75"/>
      <c r="M263" s="75"/>
      <c r="N263" s="75"/>
      <c r="O263" s="75"/>
      <c r="P263" s="75"/>
      <c r="Q263" s="75"/>
      <c r="R263" s="75"/>
      <c r="S263" s="75"/>
      <c r="T263" s="75"/>
      <c r="U263" s="75"/>
      <c r="V263" s="75"/>
      <c r="W263" s="75"/>
    </row>
    <row r="264" spans="1:23">
      <c r="A264" s="76"/>
      <c r="B264" s="76"/>
      <c r="C264" s="77"/>
      <c r="D264" s="77"/>
      <c r="E264" s="77"/>
      <c r="F264" s="77"/>
      <c r="G264" s="77"/>
      <c r="H264" s="77"/>
      <c r="I264" s="77"/>
      <c r="J264" s="77"/>
      <c r="K264" s="75"/>
      <c r="L264" s="75"/>
      <c r="M264" s="75"/>
      <c r="N264" s="75"/>
      <c r="O264" s="75"/>
      <c r="P264" s="75"/>
      <c r="Q264" s="75"/>
      <c r="R264" s="75"/>
      <c r="S264" s="75"/>
      <c r="T264" s="75"/>
      <c r="U264" s="75"/>
      <c r="V264" s="75"/>
      <c r="W264" s="75"/>
    </row>
    <row r="265" spans="1:23">
      <c r="A265" s="78" t="s">
        <v>302</v>
      </c>
      <c r="B265" s="78"/>
      <c r="C265" s="77"/>
      <c r="D265" s="77"/>
      <c r="E265" s="77"/>
      <c r="F265" s="77"/>
      <c r="G265" s="77"/>
      <c r="H265" s="77"/>
      <c r="I265" s="77"/>
      <c r="J265" s="77"/>
      <c r="K265" s="75"/>
      <c r="L265" s="75"/>
      <c r="M265" s="75"/>
      <c r="N265" s="75"/>
      <c r="O265" s="75"/>
      <c r="P265" s="75"/>
      <c r="Q265" s="75"/>
      <c r="R265" s="75"/>
      <c r="S265" s="75"/>
      <c r="T265" s="75"/>
      <c r="U265" s="75"/>
      <c r="V265" s="75"/>
      <c r="W265" s="75"/>
    </row>
    <row r="266" spans="1:23">
      <c r="A266" s="76" t="s">
        <v>314</v>
      </c>
      <c r="B266" s="76">
        <v>12</v>
      </c>
      <c r="C266" s="202"/>
      <c r="D266" s="77">
        <f t="shared" ref="D266:J266" si="70">$B$266*$C$266*D124</f>
        <v>0</v>
      </c>
      <c r="E266" s="77">
        <f t="shared" si="70"/>
        <v>0</v>
      </c>
      <c r="F266" s="77">
        <f t="shared" si="70"/>
        <v>0</v>
      </c>
      <c r="G266" s="77">
        <f t="shared" si="70"/>
        <v>0</v>
      </c>
      <c r="H266" s="77">
        <f t="shared" si="70"/>
        <v>0</v>
      </c>
      <c r="I266" s="77">
        <f t="shared" si="70"/>
        <v>0</v>
      </c>
      <c r="J266" s="77">
        <f t="shared" si="70"/>
        <v>0</v>
      </c>
      <c r="K266" s="75"/>
      <c r="L266" s="75"/>
      <c r="M266" s="75"/>
      <c r="N266" s="75"/>
      <c r="O266" s="75"/>
      <c r="P266" s="75"/>
      <c r="Q266" s="75"/>
      <c r="R266" s="75"/>
      <c r="S266" s="75"/>
      <c r="T266" s="75"/>
      <c r="U266" s="75"/>
      <c r="V266" s="75"/>
      <c r="W266" s="75"/>
    </row>
    <row r="267" spans="1:23">
      <c r="A267" s="76" t="s">
        <v>315</v>
      </c>
      <c r="B267" s="193">
        <v>1</v>
      </c>
      <c r="C267" s="202"/>
      <c r="D267" s="77">
        <f t="shared" ref="D267:J267" si="71">$B$267*$C$267*12*D124</f>
        <v>0</v>
      </c>
      <c r="E267" s="77">
        <f t="shared" si="71"/>
        <v>0</v>
      </c>
      <c r="F267" s="77">
        <f t="shared" si="71"/>
        <v>0</v>
      </c>
      <c r="G267" s="77">
        <f t="shared" si="71"/>
        <v>0</v>
      </c>
      <c r="H267" s="77">
        <f t="shared" si="71"/>
        <v>0</v>
      </c>
      <c r="I267" s="77">
        <f t="shared" si="71"/>
        <v>0</v>
      </c>
      <c r="J267" s="77">
        <f t="shared" si="71"/>
        <v>0</v>
      </c>
      <c r="K267" s="75"/>
      <c r="L267" s="75"/>
      <c r="M267" s="75"/>
      <c r="N267" s="75"/>
      <c r="O267" s="75"/>
      <c r="P267" s="75"/>
      <c r="Q267" s="75"/>
      <c r="R267" s="75"/>
      <c r="S267" s="75"/>
      <c r="T267" s="75"/>
      <c r="U267" s="75"/>
      <c r="V267" s="75"/>
      <c r="W267" s="75"/>
    </row>
    <row r="268" spans="1:23">
      <c r="A268" s="76" t="s">
        <v>187</v>
      </c>
      <c r="B268" s="193">
        <v>1</v>
      </c>
      <c r="C268" s="202"/>
      <c r="D268" s="77">
        <f t="shared" ref="D268:J268" si="72">$B$268*$C$268*12*D124</f>
        <v>0</v>
      </c>
      <c r="E268" s="77">
        <f t="shared" si="72"/>
        <v>0</v>
      </c>
      <c r="F268" s="77">
        <f t="shared" si="72"/>
        <v>0</v>
      </c>
      <c r="G268" s="77">
        <f t="shared" si="72"/>
        <v>0</v>
      </c>
      <c r="H268" s="77">
        <f t="shared" si="72"/>
        <v>0</v>
      </c>
      <c r="I268" s="77">
        <f t="shared" si="72"/>
        <v>0</v>
      </c>
      <c r="J268" s="77">
        <f t="shared" si="72"/>
        <v>0</v>
      </c>
      <c r="K268" s="75"/>
      <c r="L268" s="75"/>
      <c r="M268" s="75"/>
      <c r="N268" s="75"/>
      <c r="O268" s="75"/>
      <c r="P268" s="75"/>
      <c r="Q268" s="75"/>
      <c r="R268" s="75"/>
      <c r="S268" s="75"/>
      <c r="T268" s="75"/>
      <c r="U268" s="75"/>
      <c r="V268" s="75"/>
      <c r="W268" s="75"/>
    </row>
    <row r="269" spans="1:23">
      <c r="A269" s="76" t="s">
        <v>316</v>
      </c>
      <c r="B269" s="76">
        <v>12</v>
      </c>
      <c r="C269" s="202"/>
      <c r="D269" s="77">
        <f t="shared" ref="D269:J269" si="73">$B$269*$C$269*D124</f>
        <v>0</v>
      </c>
      <c r="E269" s="77">
        <f t="shared" si="73"/>
        <v>0</v>
      </c>
      <c r="F269" s="77">
        <f t="shared" si="73"/>
        <v>0</v>
      </c>
      <c r="G269" s="77">
        <f t="shared" si="73"/>
        <v>0</v>
      </c>
      <c r="H269" s="77">
        <f t="shared" si="73"/>
        <v>0</v>
      </c>
      <c r="I269" s="77">
        <f t="shared" si="73"/>
        <v>0</v>
      </c>
      <c r="J269" s="77">
        <f t="shared" si="73"/>
        <v>0</v>
      </c>
      <c r="K269" s="75"/>
      <c r="L269" s="75"/>
      <c r="M269" s="75"/>
      <c r="N269" s="75"/>
      <c r="O269" s="75"/>
      <c r="P269" s="75"/>
      <c r="Q269" s="75"/>
      <c r="R269" s="75"/>
      <c r="S269" s="75"/>
      <c r="T269" s="75"/>
      <c r="U269" s="75"/>
      <c r="V269" s="75"/>
      <c r="W269" s="75"/>
    </row>
    <row r="270" spans="1:23">
      <c r="A270" s="76"/>
      <c r="B270" s="76"/>
      <c r="C270" s="202"/>
      <c r="D270" s="77"/>
      <c r="E270" s="77"/>
      <c r="F270" s="77"/>
      <c r="G270" s="77"/>
      <c r="H270" s="77"/>
      <c r="I270" s="77"/>
      <c r="J270" s="77"/>
      <c r="K270" s="75"/>
      <c r="L270" s="75"/>
      <c r="M270" s="75"/>
      <c r="N270" s="75"/>
      <c r="O270" s="75"/>
      <c r="P270" s="75"/>
      <c r="Q270" s="75"/>
      <c r="R270" s="75"/>
      <c r="S270" s="75"/>
      <c r="T270" s="75"/>
      <c r="U270" s="75"/>
      <c r="V270" s="75"/>
      <c r="W270" s="75"/>
    </row>
    <row r="271" spans="1:23">
      <c r="A271" s="76"/>
      <c r="B271" s="76"/>
      <c r="C271" s="202"/>
      <c r="D271" s="77"/>
      <c r="E271" s="77"/>
      <c r="F271" s="77"/>
      <c r="G271" s="77"/>
      <c r="H271" s="77"/>
      <c r="I271" s="77"/>
      <c r="J271" s="77"/>
      <c r="K271" s="75"/>
      <c r="L271" s="75"/>
      <c r="M271" s="75"/>
      <c r="N271" s="75"/>
      <c r="O271" s="75"/>
      <c r="P271" s="75"/>
      <c r="Q271" s="75"/>
      <c r="R271" s="75"/>
      <c r="S271" s="75"/>
      <c r="T271" s="75"/>
      <c r="U271" s="75"/>
      <c r="V271" s="75"/>
      <c r="W271" s="75"/>
    </row>
    <row r="272" spans="1:23">
      <c r="A272" s="76"/>
      <c r="B272" s="76"/>
      <c r="C272" s="202"/>
      <c r="D272" s="77"/>
      <c r="E272" s="77"/>
      <c r="F272" s="77"/>
      <c r="G272" s="77"/>
      <c r="H272" s="77"/>
      <c r="I272" s="77"/>
      <c r="J272" s="77"/>
      <c r="K272" s="75"/>
      <c r="L272" s="75"/>
      <c r="M272" s="75"/>
      <c r="N272" s="75"/>
      <c r="O272" s="75"/>
      <c r="P272" s="75"/>
      <c r="Q272" s="75"/>
      <c r="R272" s="75"/>
      <c r="S272" s="75"/>
      <c r="T272" s="75"/>
      <c r="U272" s="75"/>
      <c r="V272" s="75"/>
      <c r="W272" s="75"/>
    </row>
    <row r="273" spans="1:23">
      <c r="A273" s="76"/>
      <c r="B273" s="76"/>
      <c r="C273" s="202"/>
      <c r="D273" s="77"/>
      <c r="E273" s="77"/>
      <c r="F273" s="77"/>
      <c r="G273" s="77"/>
      <c r="H273" s="77"/>
      <c r="I273" s="77"/>
      <c r="J273" s="77"/>
      <c r="K273" s="75"/>
      <c r="L273" s="75"/>
      <c r="M273" s="75"/>
      <c r="N273" s="75"/>
      <c r="O273" s="75"/>
      <c r="P273" s="75"/>
      <c r="Q273" s="75"/>
      <c r="R273" s="75"/>
      <c r="S273" s="75"/>
      <c r="T273" s="75"/>
      <c r="U273" s="75"/>
      <c r="V273" s="75"/>
      <c r="W273" s="75"/>
    </row>
    <row r="274" spans="1:23">
      <c r="A274" s="78" t="s">
        <v>313</v>
      </c>
      <c r="B274" s="78"/>
      <c r="C274" s="96"/>
      <c r="D274" s="96">
        <f>SUM(D266:D273)</f>
        <v>0</v>
      </c>
      <c r="E274" s="96">
        <f t="shared" ref="E274:J274" si="74">SUM(E266:E273)</f>
        <v>0</v>
      </c>
      <c r="F274" s="96">
        <f t="shared" si="74"/>
        <v>0</v>
      </c>
      <c r="G274" s="96">
        <f t="shared" si="74"/>
        <v>0</v>
      </c>
      <c r="H274" s="96">
        <f t="shared" si="74"/>
        <v>0</v>
      </c>
      <c r="I274" s="96">
        <f t="shared" si="74"/>
        <v>0</v>
      </c>
      <c r="J274" s="96">
        <f t="shared" si="74"/>
        <v>0</v>
      </c>
      <c r="K274" s="75"/>
      <c r="L274" s="75"/>
      <c r="M274" s="75"/>
      <c r="N274" s="75"/>
      <c r="O274" s="75"/>
      <c r="P274" s="75"/>
      <c r="Q274" s="75"/>
      <c r="R274" s="75"/>
      <c r="S274" s="75"/>
      <c r="T274" s="75"/>
      <c r="U274" s="75"/>
      <c r="V274" s="75"/>
      <c r="W274" s="75"/>
    </row>
    <row r="275" spans="1:23">
      <c r="A275" s="172" t="s">
        <v>136</v>
      </c>
      <c r="B275" s="172"/>
      <c r="C275" s="178"/>
      <c r="D275" s="96">
        <f t="shared" ref="D275:J275" si="75">D263+D274</f>
        <v>0</v>
      </c>
      <c r="E275" s="96">
        <f t="shared" si="75"/>
        <v>0</v>
      </c>
      <c r="F275" s="96">
        <f t="shared" si="75"/>
        <v>0</v>
      </c>
      <c r="G275" s="96">
        <f t="shared" si="75"/>
        <v>0</v>
      </c>
      <c r="H275" s="96">
        <f t="shared" si="75"/>
        <v>0</v>
      </c>
      <c r="I275" s="96">
        <f t="shared" si="75"/>
        <v>0</v>
      </c>
      <c r="J275" s="96">
        <f t="shared" si="75"/>
        <v>0</v>
      </c>
      <c r="K275" s="75"/>
      <c r="L275" s="75"/>
      <c r="M275" s="75"/>
      <c r="N275" s="75"/>
      <c r="O275" s="75"/>
      <c r="P275" s="75"/>
      <c r="Q275" s="75"/>
      <c r="R275" s="75"/>
      <c r="S275" s="75"/>
      <c r="T275" s="75"/>
      <c r="U275" s="75"/>
      <c r="V275" s="75"/>
      <c r="W275" s="75"/>
    </row>
    <row r="276" spans="1:23">
      <c r="A276" s="76"/>
      <c r="B276" s="76"/>
      <c r="C276" s="77"/>
      <c r="D276" s="77"/>
      <c r="E276" s="77"/>
      <c r="F276" s="77"/>
      <c r="G276" s="77"/>
      <c r="H276" s="77"/>
      <c r="I276" s="77"/>
      <c r="J276" s="77"/>
      <c r="K276" s="75"/>
      <c r="L276" s="75"/>
      <c r="M276" s="75"/>
      <c r="N276" s="75"/>
      <c r="O276" s="75"/>
      <c r="P276" s="75"/>
      <c r="Q276" s="75"/>
      <c r="R276" s="75"/>
      <c r="S276" s="75"/>
      <c r="T276" s="75"/>
      <c r="U276" s="75"/>
      <c r="V276" s="75"/>
      <c r="W276" s="75"/>
    </row>
    <row r="277" spans="1:23">
      <c r="A277" s="172" t="s">
        <v>7</v>
      </c>
      <c r="B277" s="172"/>
      <c r="C277" s="178"/>
      <c r="D277" s="96">
        <f t="shared" ref="D277:J277" si="76">D191-D275</f>
        <v>0</v>
      </c>
      <c r="E277" s="96">
        <f t="shared" si="76"/>
        <v>0</v>
      </c>
      <c r="F277" s="96">
        <f t="shared" si="76"/>
        <v>0</v>
      </c>
      <c r="G277" s="96">
        <f t="shared" si="76"/>
        <v>0</v>
      </c>
      <c r="H277" s="96">
        <f t="shared" si="76"/>
        <v>0</v>
      </c>
      <c r="I277" s="96">
        <f t="shared" si="76"/>
        <v>0</v>
      </c>
      <c r="J277" s="96">
        <f t="shared" si="76"/>
        <v>0</v>
      </c>
      <c r="K277" s="75"/>
      <c r="L277" s="75"/>
      <c r="M277" s="75"/>
      <c r="N277" s="75"/>
      <c r="O277" s="75"/>
      <c r="P277" s="75"/>
      <c r="Q277" s="75"/>
      <c r="R277" s="75"/>
      <c r="S277" s="75"/>
      <c r="T277" s="75"/>
      <c r="U277" s="75"/>
      <c r="V277" s="75"/>
      <c r="W277" s="75"/>
    </row>
    <row r="278" spans="1:23">
      <c r="A278" s="97"/>
      <c r="B278" s="97"/>
      <c r="C278" s="97"/>
      <c r="D278" s="75"/>
      <c r="E278" s="75"/>
      <c r="F278" s="75"/>
      <c r="G278" s="75"/>
      <c r="H278" s="75"/>
      <c r="I278" s="75"/>
      <c r="J278" s="75"/>
      <c r="K278" s="75"/>
      <c r="L278" s="75"/>
      <c r="M278" s="75"/>
      <c r="N278" s="75"/>
      <c r="O278" s="75"/>
      <c r="P278" s="75"/>
      <c r="Q278" s="75"/>
      <c r="R278" s="75"/>
      <c r="S278" s="75"/>
      <c r="T278" s="75"/>
      <c r="U278" s="75"/>
      <c r="V278" s="75"/>
      <c r="W278" s="75"/>
    </row>
    <row r="279" spans="1:23">
      <c r="A279" s="75"/>
      <c r="B279" s="75"/>
      <c r="C279" s="75"/>
      <c r="D279" s="75"/>
      <c r="E279" s="75"/>
      <c r="F279" s="75"/>
      <c r="G279" s="75"/>
      <c r="H279" s="75"/>
      <c r="I279" s="75"/>
      <c r="J279" s="75"/>
      <c r="K279" s="75"/>
      <c r="L279" s="75"/>
      <c r="M279" s="75"/>
      <c r="N279" s="75"/>
      <c r="O279" s="75"/>
      <c r="P279" s="75"/>
      <c r="Q279" s="75"/>
      <c r="R279" s="75"/>
      <c r="S279" s="75"/>
      <c r="T279" s="75"/>
      <c r="U279" s="75"/>
      <c r="V279" s="75"/>
      <c r="W279" s="75"/>
    </row>
    <row r="280" spans="1:23">
      <c r="A280" s="630" t="s">
        <v>398</v>
      </c>
      <c r="B280" s="630"/>
      <c r="C280" s="630"/>
      <c r="D280" s="630"/>
      <c r="E280" s="630"/>
      <c r="F280" s="630"/>
      <c r="G280" s="630"/>
      <c r="H280" s="630"/>
      <c r="I280" s="630"/>
      <c r="J280" s="630"/>
    </row>
    <row r="282" spans="1:23">
      <c r="A282" t="s">
        <v>514</v>
      </c>
    </row>
    <row r="283" spans="1:23">
      <c r="A283">
        <v>1</v>
      </c>
      <c r="B283" t="s">
        <v>527</v>
      </c>
    </row>
    <row r="284" spans="1:23">
      <c r="A284">
        <v>2</v>
      </c>
      <c r="B284" t="s">
        <v>528</v>
      </c>
    </row>
    <row r="285" spans="1:23">
      <c r="A285">
        <v>3</v>
      </c>
      <c r="B285" s="75" t="s">
        <v>577</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J200"/>
  <sheetViews>
    <sheetView view="pageBreakPreview" topLeftCell="A186" zoomScale="80" zoomScaleSheetLayoutView="80" workbookViewId="0">
      <selection activeCell="B214" sqref="B214"/>
    </sheetView>
  </sheetViews>
  <sheetFormatPr defaultRowHeight="15"/>
  <cols>
    <col min="1" max="1" width="22.140625" customWidth="1"/>
    <col min="2" max="2" width="12.140625" customWidth="1"/>
    <col min="3" max="3" width="11.7109375" bestFit="1" customWidth="1"/>
    <col min="4" max="4" width="6.5703125" bestFit="1" customWidth="1"/>
    <col min="5" max="10" width="9.42578125" bestFit="1" customWidth="1"/>
  </cols>
  <sheetData>
    <row r="3" spans="1:8" ht="18.75">
      <c r="A3" s="562" t="s">
        <v>572</v>
      </c>
      <c r="B3" s="562"/>
      <c r="C3" s="562"/>
      <c r="D3" s="562"/>
      <c r="E3" s="562"/>
      <c r="F3" s="562"/>
      <c r="G3" s="562"/>
      <c r="H3" s="562"/>
    </row>
    <row r="4" spans="1:8" ht="18.75">
      <c r="A4" s="562" t="s">
        <v>573</v>
      </c>
      <c r="B4" s="562"/>
      <c r="C4" s="562"/>
      <c r="D4" s="562"/>
      <c r="E4" s="562"/>
      <c r="F4" s="562"/>
      <c r="G4" s="562"/>
      <c r="H4" s="562"/>
    </row>
    <row r="5" spans="1:8">
      <c r="A5" s="75" t="s">
        <v>159</v>
      </c>
      <c r="B5" s="195">
        <v>1</v>
      </c>
      <c r="C5" s="75" t="s">
        <v>450</v>
      </c>
      <c r="D5" s="75"/>
      <c r="E5" s="75"/>
      <c r="F5" s="75"/>
      <c r="G5" s="75"/>
      <c r="H5" s="75"/>
    </row>
    <row r="6" spans="1:8">
      <c r="A6" s="75" t="s">
        <v>160</v>
      </c>
      <c r="B6" s="220">
        <v>8</v>
      </c>
      <c r="C6" s="75"/>
      <c r="D6" s="75"/>
      <c r="E6" s="75"/>
      <c r="F6" s="75"/>
      <c r="G6" s="75"/>
      <c r="H6" s="75"/>
    </row>
    <row r="7" spans="1:8">
      <c r="A7" s="75"/>
      <c r="B7" s="220"/>
      <c r="C7" s="75"/>
      <c r="D7" s="75"/>
      <c r="E7" s="75"/>
      <c r="F7" s="75"/>
      <c r="G7" s="75"/>
      <c r="H7" s="75"/>
    </row>
    <row r="8" spans="1:8">
      <c r="A8" s="75"/>
      <c r="B8" s="220"/>
      <c r="C8" s="75"/>
      <c r="D8" s="75"/>
      <c r="E8" s="75"/>
      <c r="F8" s="75"/>
      <c r="G8" s="75"/>
      <c r="H8" s="75"/>
    </row>
    <row r="9" spans="1:8">
      <c r="A9" s="75"/>
      <c r="B9" s="75"/>
      <c r="C9" s="75"/>
      <c r="D9" s="75"/>
      <c r="E9" s="75"/>
      <c r="F9" s="75"/>
      <c r="G9" s="75"/>
      <c r="H9" s="75"/>
    </row>
    <row r="10" spans="1:8">
      <c r="A10" s="75"/>
      <c r="B10" s="75"/>
      <c r="C10" s="75"/>
      <c r="D10" s="75"/>
      <c r="E10" s="75"/>
      <c r="F10" s="75"/>
      <c r="G10" s="75"/>
      <c r="H10" s="75"/>
    </row>
    <row r="11" spans="1:8">
      <c r="A11" s="65" t="s">
        <v>0</v>
      </c>
      <c r="B11" s="66" t="s">
        <v>2</v>
      </c>
      <c r="C11" s="66" t="s">
        <v>3</v>
      </c>
      <c r="D11" s="66" t="s">
        <v>4</v>
      </c>
      <c r="E11" s="66" t="s">
        <v>5</v>
      </c>
      <c r="F11" s="66" t="s">
        <v>6</v>
      </c>
      <c r="G11" s="66" t="s">
        <v>166</v>
      </c>
      <c r="H11" s="66" t="s">
        <v>165</v>
      </c>
    </row>
    <row r="12" spans="1:8">
      <c r="A12" s="76" t="s">
        <v>167</v>
      </c>
      <c r="B12" s="424">
        <f t="shared" ref="B12:H12" si="0">B39/($B$5*$B$6)</f>
        <v>0</v>
      </c>
      <c r="C12" s="424">
        <f t="shared" si="0"/>
        <v>0</v>
      </c>
      <c r="D12" s="424">
        <f t="shared" si="0"/>
        <v>0</v>
      </c>
      <c r="E12" s="424">
        <f t="shared" si="0"/>
        <v>0</v>
      </c>
      <c r="F12" s="424">
        <f t="shared" si="0"/>
        <v>0</v>
      </c>
      <c r="G12" s="424">
        <f t="shared" si="0"/>
        <v>0</v>
      </c>
      <c r="H12" s="424">
        <f t="shared" si="0"/>
        <v>0</v>
      </c>
    </row>
    <row r="13" spans="1:8">
      <c r="A13" s="76" t="str">
        <f>'11.F&amp;V Crop Production details'!A74</f>
        <v>Onion</v>
      </c>
      <c r="B13" s="424">
        <f>'11.F&amp;V Crop Production details'!B74</f>
        <v>0</v>
      </c>
      <c r="C13" s="424">
        <f>'11.F&amp;V Crop Production details'!C74</f>
        <v>0</v>
      </c>
      <c r="D13" s="424">
        <f>'11.F&amp;V Crop Production details'!D74</f>
        <v>0</v>
      </c>
      <c r="E13" s="424">
        <f>'11.F&amp;V Crop Production details'!E74</f>
        <v>0</v>
      </c>
      <c r="F13" s="424">
        <f>'11.F&amp;V Crop Production details'!F74</f>
        <v>0</v>
      </c>
      <c r="G13" s="424">
        <f>'11.F&amp;V Crop Production details'!G74</f>
        <v>0</v>
      </c>
      <c r="H13" s="424">
        <f>'11.F&amp;V Crop Production details'!H74</f>
        <v>0</v>
      </c>
    </row>
    <row r="14" spans="1:8">
      <c r="A14" s="76" t="str">
        <f>'11.F&amp;V Crop Production details'!A75</f>
        <v>Tomato</v>
      </c>
      <c r="B14" s="424">
        <f>'11.F&amp;V Crop Production details'!B75</f>
        <v>0</v>
      </c>
      <c r="C14" s="424">
        <f>'11.F&amp;V Crop Production details'!C75</f>
        <v>0</v>
      </c>
      <c r="D14" s="424">
        <f>'11.F&amp;V Crop Production details'!D75</f>
        <v>0</v>
      </c>
      <c r="E14" s="424">
        <f>'11.F&amp;V Crop Production details'!E75</f>
        <v>0</v>
      </c>
      <c r="F14" s="424">
        <f>'11.F&amp;V Crop Production details'!F75</f>
        <v>0</v>
      </c>
      <c r="G14" s="424">
        <f>'11.F&amp;V Crop Production details'!G75</f>
        <v>0</v>
      </c>
      <c r="H14" s="424">
        <f>'11.F&amp;V Crop Production details'!H75</f>
        <v>0</v>
      </c>
    </row>
    <row r="15" spans="1:8">
      <c r="A15" s="76" t="str">
        <f>'11.F&amp;V Crop Production details'!A76</f>
        <v>Okra</v>
      </c>
      <c r="B15" s="424">
        <f>'11.F&amp;V Crop Production details'!B76</f>
        <v>0</v>
      </c>
      <c r="C15" s="424">
        <f>'11.F&amp;V Crop Production details'!C76</f>
        <v>0</v>
      </c>
      <c r="D15" s="424">
        <f>'11.F&amp;V Crop Production details'!D76</f>
        <v>0</v>
      </c>
      <c r="E15" s="424">
        <f>'11.F&amp;V Crop Production details'!E76</f>
        <v>0</v>
      </c>
      <c r="F15" s="424">
        <f>'11.F&amp;V Crop Production details'!F76</f>
        <v>0</v>
      </c>
      <c r="G15" s="424">
        <f>'11.F&amp;V Crop Production details'!G76</f>
        <v>0</v>
      </c>
      <c r="H15" s="424">
        <f>'11.F&amp;V Crop Production details'!H76</f>
        <v>0</v>
      </c>
    </row>
    <row r="16" spans="1:8">
      <c r="A16" s="76" t="str">
        <f>'11.F&amp;V Crop Production details'!A77</f>
        <v>Chilli</v>
      </c>
      <c r="B16" s="424">
        <f>'11.F&amp;V Crop Production details'!B77</f>
        <v>0</v>
      </c>
      <c r="C16" s="424">
        <f>'11.F&amp;V Crop Production details'!C77</f>
        <v>0</v>
      </c>
      <c r="D16" s="424">
        <f>'11.F&amp;V Crop Production details'!D77</f>
        <v>0</v>
      </c>
      <c r="E16" s="424">
        <f>'11.F&amp;V Crop Production details'!E77</f>
        <v>0</v>
      </c>
      <c r="F16" s="424">
        <f>'11.F&amp;V Crop Production details'!F77</f>
        <v>0</v>
      </c>
      <c r="G16" s="424">
        <f>'11.F&amp;V Crop Production details'!G77</f>
        <v>0</v>
      </c>
      <c r="H16" s="424">
        <f>'11.F&amp;V Crop Production details'!H77</f>
        <v>0</v>
      </c>
    </row>
    <row r="17" spans="1:8">
      <c r="A17" s="76" t="str">
        <f>'11.F&amp;V Crop Production details'!A78</f>
        <v>Potato</v>
      </c>
      <c r="B17" s="424">
        <f>'11.F&amp;V Crop Production details'!B78</f>
        <v>0</v>
      </c>
      <c r="C17" s="424">
        <f>'11.F&amp;V Crop Production details'!C78</f>
        <v>0</v>
      </c>
      <c r="D17" s="424">
        <f>'11.F&amp;V Crop Production details'!D78</f>
        <v>0</v>
      </c>
      <c r="E17" s="424">
        <f>'11.F&amp;V Crop Production details'!E78</f>
        <v>0</v>
      </c>
      <c r="F17" s="424">
        <f>'11.F&amp;V Crop Production details'!F78</f>
        <v>0</v>
      </c>
      <c r="G17" s="424">
        <f>'11.F&amp;V Crop Production details'!G78</f>
        <v>0</v>
      </c>
      <c r="H17" s="424">
        <f>'11.F&amp;V Crop Production details'!H78</f>
        <v>0</v>
      </c>
    </row>
    <row r="18" spans="1:8">
      <c r="A18" s="424">
        <f>'11.F&amp;V Crop Production details'!A79</f>
        <v>0</v>
      </c>
      <c r="B18" s="424">
        <f>'11.F&amp;V Crop Production details'!B79</f>
        <v>0</v>
      </c>
      <c r="C18" s="424">
        <f>'11.F&amp;V Crop Production details'!C79</f>
        <v>0</v>
      </c>
      <c r="D18" s="424">
        <f>'11.F&amp;V Crop Production details'!D79</f>
        <v>0</v>
      </c>
      <c r="E18" s="424">
        <f>'11.F&amp;V Crop Production details'!E79</f>
        <v>0</v>
      </c>
      <c r="F18" s="424">
        <f>'11.F&amp;V Crop Production details'!F79</f>
        <v>0</v>
      </c>
      <c r="G18" s="424">
        <f>'11.F&amp;V Crop Production details'!G79</f>
        <v>0</v>
      </c>
      <c r="H18" s="424">
        <f>'11.F&amp;V Crop Production details'!H79</f>
        <v>0</v>
      </c>
    </row>
    <row r="19" spans="1:8">
      <c r="A19" s="424">
        <f>'11.F&amp;V Crop Production details'!A80</f>
        <v>0</v>
      </c>
      <c r="B19" s="424">
        <f>'11.F&amp;V Crop Production details'!B80</f>
        <v>0</v>
      </c>
      <c r="C19" s="424">
        <f>'11.F&amp;V Crop Production details'!C80</f>
        <v>0</v>
      </c>
      <c r="D19" s="424">
        <f>'11.F&amp;V Crop Production details'!D80</f>
        <v>0</v>
      </c>
      <c r="E19" s="424">
        <f>'11.F&amp;V Crop Production details'!E80</f>
        <v>0</v>
      </c>
      <c r="F19" s="424">
        <f>'11.F&amp;V Crop Production details'!F80</f>
        <v>0</v>
      </c>
      <c r="G19" s="424">
        <f>'11.F&amp;V Crop Production details'!G80</f>
        <v>0</v>
      </c>
      <c r="H19" s="424">
        <f>'11.F&amp;V Crop Production details'!H80</f>
        <v>0</v>
      </c>
    </row>
    <row r="20" spans="1:8">
      <c r="A20" s="424">
        <f>'11.F&amp;V Crop Production details'!A81</f>
        <v>0</v>
      </c>
      <c r="B20" s="424">
        <f>'11.F&amp;V Crop Production details'!B81</f>
        <v>0</v>
      </c>
      <c r="C20" s="424">
        <f>'11.F&amp;V Crop Production details'!C81</f>
        <v>0</v>
      </c>
      <c r="D20" s="424">
        <f>'11.F&amp;V Crop Production details'!D81</f>
        <v>0</v>
      </c>
      <c r="E20" s="424">
        <f>'11.F&amp;V Crop Production details'!E81</f>
        <v>0</v>
      </c>
      <c r="F20" s="424">
        <f>'11.F&amp;V Crop Production details'!F81</f>
        <v>0</v>
      </c>
      <c r="G20" s="424">
        <f>'11.F&amp;V Crop Production details'!G81</f>
        <v>0</v>
      </c>
      <c r="H20" s="424">
        <f>'11.F&amp;V Crop Production details'!H81</f>
        <v>0</v>
      </c>
    </row>
    <row r="21" spans="1:8">
      <c r="A21" s="424">
        <f>'11.F&amp;V Crop Production details'!A82</f>
        <v>0</v>
      </c>
      <c r="B21" s="424">
        <f>'11.F&amp;V Crop Production details'!B82</f>
        <v>0</v>
      </c>
      <c r="C21" s="424">
        <f>'11.F&amp;V Crop Production details'!C82</f>
        <v>0</v>
      </c>
      <c r="D21" s="424">
        <f>'11.F&amp;V Crop Production details'!D82</f>
        <v>0</v>
      </c>
      <c r="E21" s="424">
        <f>'11.F&amp;V Crop Production details'!E82</f>
        <v>0</v>
      </c>
      <c r="F21" s="424">
        <f>'11.F&amp;V Crop Production details'!F82</f>
        <v>0</v>
      </c>
      <c r="G21" s="424">
        <f>'11.F&amp;V Crop Production details'!G82</f>
        <v>0</v>
      </c>
      <c r="H21" s="424">
        <f>'11.F&amp;V Crop Production details'!H82</f>
        <v>0</v>
      </c>
    </row>
    <row r="22" spans="1:8">
      <c r="A22" s="76" t="str">
        <f>'11.F&amp;V Crop Production details'!A83</f>
        <v>Onion</v>
      </c>
      <c r="B22" s="424">
        <f>'11.F&amp;V Crop Production details'!B83</f>
        <v>0</v>
      </c>
      <c r="C22" s="424">
        <f>'11.F&amp;V Crop Production details'!C83</f>
        <v>0</v>
      </c>
      <c r="D22" s="424">
        <f>'11.F&amp;V Crop Production details'!D83</f>
        <v>0</v>
      </c>
      <c r="E22" s="424">
        <f>'11.F&amp;V Crop Production details'!E83</f>
        <v>0</v>
      </c>
      <c r="F22" s="424">
        <f>'11.F&amp;V Crop Production details'!F83</f>
        <v>0</v>
      </c>
      <c r="G22" s="424">
        <f>'11.F&amp;V Crop Production details'!G83</f>
        <v>0</v>
      </c>
      <c r="H22" s="424">
        <f>'11.F&amp;V Crop Production details'!H83</f>
        <v>0</v>
      </c>
    </row>
    <row r="23" spans="1:8">
      <c r="A23" s="76" t="str">
        <f>'11.F&amp;V Crop Production details'!A84</f>
        <v>Tomato</v>
      </c>
      <c r="B23" s="424">
        <f>'11.F&amp;V Crop Production details'!B84</f>
        <v>0</v>
      </c>
      <c r="C23" s="424">
        <f>'11.F&amp;V Crop Production details'!C84</f>
        <v>0</v>
      </c>
      <c r="D23" s="424">
        <f>'11.F&amp;V Crop Production details'!D84</f>
        <v>0</v>
      </c>
      <c r="E23" s="424">
        <f>'11.F&amp;V Crop Production details'!E84</f>
        <v>0</v>
      </c>
      <c r="F23" s="424">
        <f>'11.F&amp;V Crop Production details'!F84</f>
        <v>0</v>
      </c>
      <c r="G23" s="424">
        <f>'11.F&amp;V Crop Production details'!G84</f>
        <v>0</v>
      </c>
      <c r="H23" s="424">
        <f>'11.F&amp;V Crop Production details'!H84</f>
        <v>0</v>
      </c>
    </row>
    <row r="24" spans="1:8">
      <c r="A24" s="76" t="str">
        <f>'11.F&amp;V Crop Production details'!A85</f>
        <v>Okra</v>
      </c>
      <c r="B24" s="424">
        <f>'11.F&amp;V Crop Production details'!B85</f>
        <v>0</v>
      </c>
      <c r="C24" s="424">
        <f>'11.F&amp;V Crop Production details'!C85</f>
        <v>0</v>
      </c>
      <c r="D24" s="424">
        <f>'11.F&amp;V Crop Production details'!D85</f>
        <v>0</v>
      </c>
      <c r="E24" s="424">
        <f>'11.F&amp;V Crop Production details'!E85</f>
        <v>0</v>
      </c>
      <c r="F24" s="424">
        <f>'11.F&amp;V Crop Production details'!F85</f>
        <v>0</v>
      </c>
      <c r="G24" s="424">
        <f>'11.F&amp;V Crop Production details'!G85</f>
        <v>0</v>
      </c>
      <c r="H24" s="424">
        <f>'11.F&amp;V Crop Production details'!H85</f>
        <v>0</v>
      </c>
    </row>
    <row r="25" spans="1:8">
      <c r="A25" s="76" t="str">
        <f>'11.F&amp;V Crop Production details'!A86</f>
        <v>Chilli</v>
      </c>
      <c r="B25" s="424">
        <f>'11.F&amp;V Crop Production details'!B86</f>
        <v>0</v>
      </c>
      <c r="C25" s="424">
        <f>'11.F&amp;V Crop Production details'!C86</f>
        <v>0</v>
      </c>
      <c r="D25" s="424">
        <f>'11.F&amp;V Crop Production details'!D86</f>
        <v>0</v>
      </c>
      <c r="E25" s="424">
        <f>'11.F&amp;V Crop Production details'!E86</f>
        <v>0</v>
      </c>
      <c r="F25" s="424">
        <f>'11.F&amp;V Crop Production details'!F86</f>
        <v>0</v>
      </c>
      <c r="G25" s="424">
        <f>'11.F&amp;V Crop Production details'!G86</f>
        <v>0</v>
      </c>
      <c r="H25" s="424">
        <f>'11.F&amp;V Crop Production details'!H86</f>
        <v>0</v>
      </c>
    </row>
    <row r="26" spans="1:8">
      <c r="A26" s="76" t="str">
        <f>'11.F&amp;V Crop Production details'!A87</f>
        <v>Brinjal</v>
      </c>
      <c r="B26" s="424">
        <f>'11.F&amp;V Crop Production details'!B87</f>
        <v>0</v>
      </c>
      <c r="C26" s="424">
        <f>'11.F&amp;V Crop Production details'!C87</f>
        <v>0</v>
      </c>
      <c r="D26" s="424">
        <f>'11.F&amp;V Crop Production details'!D87</f>
        <v>0</v>
      </c>
      <c r="E26" s="424">
        <f>'11.F&amp;V Crop Production details'!E87</f>
        <v>0</v>
      </c>
      <c r="F26" s="424">
        <f>'11.F&amp;V Crop Production details'!F87</f>
        <v>0</v>
      </c>
      <c r="G26" s="424">
        <f>'11.F&amp;V Crop Production details'!G87</f>
        <v>0</v>
      </c>
      <c r="H26" s="424">
        <f>'11.F&amp;V Crop Production details'!H87</f>
        <v>0</v>
      </c>
    </row>
    <row r="27" spans="1:8">
      <c r="A27" s="424">
        <f>'11.F&amp;V Crop Production details'!A88</f>
        <v>0</v>
      </c>
      <c r="B27" s="424">
        <f>'11.F&amp;V Crop Production details'!B88</f>
        <v>0</v>
      </c>
      <c r="C27" s="424">
        <f>'11.F&amp;V Crop Production details'!C88</f>
        <v>0</v>
      </c>
      <c r="D27" s="424">
        <f>'11.F&amp;V Crop Production details'!D88</f>
        <v>0</v>
      </c>
      <c r="E27" s="424">
        <f>'11.F&amp;V Crop Production details'!E88</f>
        <v>0</v>
      </c>
      <c r="F27" s="424">
        <f>'11.F&amp;V Crop Production details'!F88</f>
        <v>0</v>
      </c>
      <c r="G27" s="424">
        <f>'11.F&amp;V Crop Production details'!G88</f>
        <v>0</v>
      </c>
      <c r="H27" s="424">
        <f>'11.F&amp;V Crop Production details'!H88</f>
        <v>0</v>
      </c>
    </row>
    <row r="28" spans="1:8">
      <c r="A28" s="424">
        <f>'11.F&amp;V Crop Production details'!A89</f>
        <v>0</v>
      </c>
      <c r="B28" s="424">
        <f>'11.F&amp;V Crop Production details'!B89</f>
        <v>0</v>
      </c>
      <c r="C28" s="424">
        <f>'11.F&amp;V Crop Production details'!C89</f>
        <v>0</v>
      </c>
      <c r="D28" s="424">
        <f>'11.F&amp;V Crop Production details'!D89</f>
        <v>0</v>
      </c>
      <c r="E28" s="424">
        <f>'11.F&amp;V Crop Production details'!E89</f>
        <v>0</v>
      </c>
      <c r="F28" s="424">
        <f>'11.F&amp;V Crop Production details'!F89</f>
        <v>0</v>
      </c>
      <c r="G28" s="424">
        <f>'11.F&amp;V Crop Production details'!G89</f>
        <v>0</v>
      </c>
      <c r="H28" s="424">
        <f>'11.F&amp;V Crop Production details'!H89</f>
        <v>0</v>
      </c>
    </row>
    <row r="29" spans="1:8">
      <c r="A29" s="424">
        <f>'11.F&amp;V Crop Production details'!A90</f>
        <v>0</v>
      </c>
      <c r="B29" s="424">
        <f>'11.F&amp;V Crop Production details'!B90</f>
        <v>0</v>
      </c>
      <c r="C29" s="424">
        <f>'11.F&amp;V Crop Production details'!C90</f>
        <v>0</v>
      </c>
      <c r="D29" s="424">
        <f>'11.F&amp;V Crop Production details'!D90</f>
        <v>0</v>
      </c>
      <c r="E29" s="424">
        <f>'11.F&amp;V Crop Production details'!E90</f>
        <v>0</v>
      </c>
      <c r="F29" s="424">
        <f>'11.F&amp;V Crop Production details'!F90</f>
        <v>0</v>
      </c>
      <c r="G29" s="424">
        <f>'11.F&amp;V Crop Production details'!G90</f>
        <v>0</v>
      </c>
      <c r="H29" s="424">
        <f>'11.F&amp;V Crop Production details'!H90</f>
        <v>0</v>
      </c>
    </row>
    <row r="30" spans="1:8">
      <c r="A30" s="424">
        <f>'11.F&amp;V Crop Production details'!A91</f>
        <v>0</v>
      </c>
      <c r="B30" s="424">
        <f>'11.F&amp;V Crop Production details'!B91</f>
        <v>0</v>
      </c>
      <c r="C30" s="424">
        <f>'11.F&amp;V Crop Production details'!C91</f>
        <v>0</v>
      </c>
      <c r="D30" s="424">
        <f>'11.F&amp;V Crop Production details'!D91</f>
        <v>0</v>
      </c>
      <c r="E30" s="424">
        <f>'11.F&amp;V Crop Production details'!E91</f>
        <v>0</v>
      </c>
      <c r="F30" s="424">
        <f>'11.F&amp;V Crop Production details'!F91</f>
        <v>0</v>
      </c>
      <c r="G30" s="424">
        <f>'11.F&amp;V Crop Production details'!G91</f>
        <v>0</v>
      </c>
      <c r="H30" s="424">
        <f>'11.F&amp;V Crop Production details'!H91</f>
        <v>0</v>
      </c>
    </row>
    <row r="31" spans="1:8">
      <c r="A31" s="424">
        <f>'11.F&amp;V Crop Production details'!A92</f>
        <v>0</v>
      </c>
      <c r="B31" s="424">
        <f>'11.F&amp;V Crop Production details'!B92</f>
        <v>0</v>
      </c>
      <c r="C31" s="424">
        <f>'11.F&amp;V Crop Production details'!C92</f>
        <v>0</v>
      </c>
      <c r="D31" s="424">
        <f>'11.F&amp;V Crop Production details'!D92</f>
        <v>0</v>
      </c>
      <c r="E31" s="424">
        <f>'11.F&amp;V Crop Production details'!E92</f>
        <v>0</v>
      </c>
      <c r="F31" s="424">
        <f>'11.F&amp;V Crop Production details'!F92</f>
        <v>0</v>
      </c>
      <c r="G31" s="424">
        <f>'11.F&amp;V Crop Production details'!G92</f>
        <v>0</v>
      </c>
      <c r="H31" s="424">
        <f>'11.F&amp;V Crop Production details'!H92</f>
        <v>0</v>
      </c>
    </row>
    <row r="32" spans="1:8">
      <c r="A32" s="424">
        <f>'11.F&amp;V Crop Production details'!A93</f>
        <v>0</v>
      </c>
      <c r="B32" s="424">
        <f>'11.F&amp;V Crop Production details'!B93</f>
        <v>0</v>
      </c>
      <c r="C32" s="424">
        <f>'11.F&amp;V Crop Production details'!C93</f>
        <v>0</v>
      </c>
      <c r="D32" s="424">
        <f>'11.F&amp;V Crop Production details'!D93</f>
        <v>0</v>
      </c>
      <c r="E32" s="424">
        <f>'11.F&amp;V Crop Production details'!E93</f>
        <v>0</v>
      </c>
      <c r="F32" s="424">
        <f>'11.F&amp;V Crop Production details'!F93</f>
        <v>0</v>
      </c>
      <c r="G32" s="424">
        <f>'11.F&amp;V Crop Production details'!G93</f>
        <v>0</v>
      </c>
      <c r="H32" s="424">
        <f>'11.F&amp;V Crop Production details'!H93</f>
        <v>0</v>
      </c>
    </row>
    <row r="33" spans="1:8">
      <c r="A33" s="424">
        <f>'11.F&amp;V Crop Production details'!A94</f>
        <v>0</v>
      </c>
      <c r="B33" s="424">
        <f>'11.F&amp;V Crop Production details'!B94</f>
        <v>0</v>
      </c>
      <c r="C33" s="424">
        <f>'11.F&amp;V Crop Production details'!C94</f>
        <v>0</v>
      </c>
      <c r="D33" s="424">
        <f>'11.F&amp;V Crop Production details'!D94</f>
        <v>0</v>
      </c>
      <c r="E33" s="424">
        <f>'11.F&amp;V Crop Production details'!E94</f>
        <v>0</v>
      </c>
      <c r="F33" s="424">
        <f>'11.F&amp;V Crop Production details'!F94</f>
        <v>0</v>
      </c>
      <c r="G33" s="424">
        <f>'11.F&amp;V Crop Production details'!G94</f>
        <v>0</v>
      </c>
      <c r="H33" s="424">
        <f>'11.F&amp;V Crop Production details'!H94</f>
        <v>0</v>
      </c>
    </row>
    <row r="34" spans="1:8">
      <c r="A34" s="76" t="str">
        <f>'11.F&amp;V Crop Production details'!A95</f>
        <v>Pomegranate</v>
      </c>
      <c r="B34" s="424">
        <f>'11.F&amp;V Crop Production details'!B95</f>
        <v>0</v>
      </c>
      <c r="C34" s="424">
        <f>'11.F&amp;V Crop Production details'!C95</f>
        <v>0</v>
      </c>
      <c r="D34" s="424">
        <f>'11.F&amp;V Crop Production details'!D95</f>
        <v>0</v>
      </c>
      <c r="E34" s="424">
        <f>'11.F&amp;V Crop Production details'!E95</f>
        <v>0</v>
      </c>
      <c r="F34" s="424">
        <f>'11.F&amp;V Crop Production details'!F95</f>
        <v>0</v>
      </c>
      <c r="G34" s="424">
        <f>'11.F&amp;V Crop Production details'!G95</f>
        <v>0</v>
      </c>
      <c r="H34" s="424">
        <f>'11.F&amp;V Crop Production details'!H95</f>
        <v>0</v>
      </c>
    </row>
    <row r="35" spans="1:8">
      <c r="A35" s="76" t="str">
        <f>'11.F&amp;V Crop Production details'!A96</f>
        <v>Custard Apple</v>
      </c>
      <c r="B35" s="424">
        <f>'11.F&amp;V Crop Production details'!B96</f>
        <v>0</v>
      </c>
      <c r="C35" s="424">
        <f>'11.F&amp;V Crop Production details'!C96</f>
        <v>0</v>
      </c>
      <c r="D35" s="424">
        <f>'11.F&amp;V Crop Production details'!D96</f>
        <v>0</v>
      </c>
      <c r="E35" s="424">
        <f>'11.F&amp;V Crop Production details'!E96</f>
        <v>0</v>
      </c>
      <c r="F35" s="424">
        <f>'11.F&amp;V Crop Production details'!F96</f>
        <v>0</v>
      </c>
      <c r="G35" s="424">
        <f>'11.F&amp;V Crop Production details'!G96</f>
        <v>0</v>
      </c>
      <c r="H35" s="424">
        <f>'11.F&amp;V Crop Production details'!H96</f>
        <v>0</v>
      </c>
    </row>
    <row r="36" spans="1:8">
      <c r="A36" s="76" t="str">
        <f>'11.F&amp;V Crop Production details'!A97</f>
        <v>Guava</v>
      </c>
      <c r="B36" s="424">
        <f>'11.F&amp;V Crop Production details'!B97</f>
        <v>0</v>
      </c>
      <c r="C36" s="424">
        <f>'11.F&amp;V Crop Production details'!C97</f>
        <v>0</v>
      </c>
      <c r="D36" s="424">
        <f>'11.F&amp;V Crop Production details'!D97</f>
        <v>0</v>
      </c>
      <c r="E36" s="424">
        <f>'11.F&amp;V Crop Production details'!E97</f>
        <v>0</v>
      </c>
      <c r="F36" s="424">
        <f>'11.F&amp;V Crop Production details'!F97</f>
        <v>0</v>
      </c>
      <c r="G36" s="424">
        <f>'11.F&amp;V Crop Production details'!G97</f>
        <v>0</v>
      </c>
      <c r="H36" s="424">
        <f>'11.F&amp;V Crop Production details'!H97</f>
        <v>0</v>
      </c>
    </row>
    <row r="37" spans="1:8">
      <c r="A37" s="76" t="str">
        <f>'11.F&amp;V Crop Production details'!A98</f>
        <v>Citrus</v>
      </c>
      <c r="B37" s="424">
        <f>'11.F&amp;V Crop Production details'!B98</f>
        <v>0</v>
      </c>
      <c r="C37" s="424">
        <f>'11.F&amp;V Crop Production details'!C98</f>
        <v>0</v>
      </c>
      <c r="D37" s="424">
        <f>'11.F&amp;V Crop Production details'!D98</f>
        <v>0</v>
      </c>
      <c r="E37" s="424">
        <f>'11.F&amp;V Crop Production details'!E98</f>
        <v>0</v>
      </c>
      <c r="F37" s="424">
        <f>'11.F&amp;V Crop Production details'!F98</f>
        <v>0</v>
      </c>
      <c r="G37" s="424">
        <f>'11.F&amp;V Crop Production details'!G98</f>
        <v>0</v>
      </c>
      <c r="H37" s="424">
        <f>'11.F&amp;V Crop Production details'!H98</f>
        <v>0</v>
      </c>
    </row>
    <row r="38" spans="1:8">
      <c r="A38" s="76"/>
      <c r="B38" s="424"/>
      <c r="C38" s="424"/>
      <c r="D38" s="424"/>
      <c r="E38" s="424"/>
      <c r="F38" s="424"/>
      <c r="G38" s="424"/>
      <c r="H38" s="424"/>
    </row>
    <row r="39" spans="1:8">
      <c r="A39" s="76" t="s">
        <v>443</v>
      </c>
      <c r="B39" s="424">
        <f>SUM(B13:B37)</f>
        <v>0</v>
      </c>
      <c r="C39" s="424">
        <f t="shared" ref="C39:H39" si="1">SUM(C13:C37)</f>
        <v>0</v>
      </c>
      <c r="D39" s="424">
        <f t="shared" si="1"/>
        <v>0</v>
      </c>
      <c r="E39" s="424">
        <f t="shared" si="1"/>
        <v>0</v>
      </c>
      <c r="F39" s="424">
        <f t="shared" si="1"/>
        <v>0</v>
      </c>
      <c r="G39" s="424">
        <f t="shared" si="1"/>
        <v>0</v>
      </c>
      <c r="H39" s="424">
        <f t="shared" si="1"/>
        <v>0</v>
      </c>
    </row>
    <row r="40" spans="1:8">
      <c r="A40" s="236" t="s">
        <v>163</v>
      </c>
      <c r="B40" s="219">
        <v>0</v>
      </c>
      <c r="C40" s="219">
        <f>B40</f>
        <v>0</v>
      </c>
      <c r="D40" s="219">
        <f t="shared" ref="D40:H40" si="2">C40</f>
        <v>0</v>
      </c>
      <c r="E40" s="219">
        <f t="shared" si="2"/>
        <v>0</v>
      </c>
      <c r="F40" s="219">
        <f t="shared" si="2"/>
        <v>0</v>
      </c>
      <c r="G40" s="219">
        <f t="shared" si="2"/>
        <v>0</v>
      </c>
      <c r="H40" s="219">
        <f t="shared" si="2"/>
        <v>0</v>
      </c>
    </row>
    <row r="41" spans="1:8">
      <c r="A41" s="80" t="s">
        <v>451</v>
      </c>
      <c r="B41" s="425">
        <f>1-B40</f>
        <v>1</v>
      </c>
      <c r="C41" s="425">
        <f t="shared" ref="C41:H41" si="3">1-C40</f>
        <v>1</v>
      </c>
      <c r="D41" s="425">
        <f t="shared" si="3"/>
        <v>1</v>
      </c>
      <c r="E41" s="425">
        <f t="shared" si="3"/>
        <v>1</v>
      </c>
      <c r="F41" s="425">
        <f t="shared" si="3"/>
        <v>1</v>
      </c>
      <c r="G41" s="425">
        <f t="shared" si="3"/>
        <v>1</v>
      </c>
      <c r="H41" s="425">
        <f t="shared" si="3"/>
        <v>1</v>
      </c>
    </row>
    <row r="42" spans="1:8">
      <c r="A42" s="78" t="s">
        <v>163</v>
      </c>
      <c r="B42" s="206">
        <f>B39*B40</f>
        <v>0</v>
      </c>
      <c r="C42" s="206">
        <f t="shared" ref="C42:H42" si="4">C39*C40</f>
        <v>0</v>
      </c>
      <c r="D42" s="206">
        <f t="shared" si="4"/>
        <v>0</v>
      </c>
      <c r="E42" s="206">
        <f t="shared" si="4"/>
        <v>0</v>
      </c>
      <c r="F42" s="206">
        <f t="shared" si="4"/>
        <v>0</v>
      </c>
      <c r="G42" s="206">
        <f t="shared" si="4"/>
        <v>0</v>
      </c>
      <c r="H42" s="206">
        <f t="shared" si="4"/>
        <v>0</v>
      </c>
    </row>
    <row r="43" spans="1:8">
      <c r="A43" s="78" t="s">
        <v>164</v>
      </c>
      <c r="B43" s="96"/>
      <c r="C43" s="96"/>
      <c r="D43" s="96"/>
      <c r="E43" s="96"/>
      <c r="F43" s="96"/>
      <c r="G43" s="96"/>
      <c r="H43" s="96"/>
    </row>
    <row r="44" spans="1:8">
      <c r="A44" s="76" t="str">
        <f t="shared" ref="A44:A61" si="5">A13</f>
        <v>Onion</v>
      </c>
      <c r="B44" s="77">
        <f t="shared" ref="B44:B61" si="6">B13*$B$41</f>
        <v>0</v>
      </c>
      <c r="C44" s="77">
        <f t="shared" ref="C44:C61" si="7">C13*$C$41</f>
        <v>0</v>
      </c>
      <c r="D44" s="77">
        <f t="shared" ref="D44:D61" si="8">D13*$D$41</f>
        <v>0</v>
      </c>
      <c r="E44" s="77">
        <f t="shared" ref="E44:E61" si="9">E13*$E$41</f>
        <v>0</v>
      </c>
      <c r="F44" s="77">
        <f t="shared" ref="F44:F61" si="10">F13*$F$41</f>
        <v>0</v>
      </c>
      <c r="G44" s="77">
        <f t="shared" ref="G44:G61" si="11">G13*$G$41</f>
        <v>0</v>
      </c>
      <c r="H44" s="77">
        <f t="shared" ref="H44:H61" si="12">H13*$H$41</f>
        <v>0</v>
      </c>
    </row>
    <row r="45" spans="1:8">
      <c r="A45" s="76" t="str">
        <f t="shared" si="5"/>
        <v>Tomato</v>
      </c>
      <c r="B45" s="77">
        <f t="shared" si="6"/>
        <v>0</v>
      </c>
      <c r="C45" s="77">
        <f t="shared" si="7"/>
        <v>0</v>
      </c>
      <c r="D45" s="77">
        <f t="shared" si="8"/>
        <v>0</v>
      </c>
      <c r="E45" s="77">
        <f t="shared" si="9"/>
        <v>0</v>
      </c>
      <c r="F45" s="77">
        <f t="shared" si="10"/>
        <v>0</v>
      </c>
      <c r="G45" s="77">
        <f t="shared" si="11"/>
        <v>0</v>
      </c>
      <c r="H45" s="77">
        <f t="shared" si="12"/>
        <v>0</v>
      </c>
    </row>
    <row r="46" spans="1:8">
      <c r="A46" s="76" t="str">
        <f t="shared" si="5"/>
        <v>Okra</v>
      </c>
      <c r="B46" s="77">
        <f t="shared" si="6"/>
        <v>0</v>
      </c>
      <c r="C46" s="77">
        <f t="shared" si="7"/>
        <v>0</v>
      </c>
      <c r="D46" s="77">
        <f t="shared" si="8"/>
        <v>0</v>
      </c>
      <c r="E46" s="77">
        <f t="shared" si="9"/>
        <v>0</v>
      </c>
      <c r="F46" s="77">
        <f t="shared" si="10"/>
        <v>0</v>
      </c>
      <c r="G46" s="77">
        <f t="shared" si="11"/>
        <v>0</v>
      </c>
      <c r="H46" s="77">
        <f t="shared" si="12"/>
        <v>0</v>
      </c>
    </row>
    <row r="47" spans="1:8">
      <c r="A47" s="76" t="str">
        <f t="shared" si="5"/>
        <v>Chilli</v>
      </c>
      <c r="B47" s="77">
        <f t="shared" si="6"/>
        <v>0</v>
      </c>
      <c r="C47" s="77">
        <f t="shared" si="7"/>
        <v>0</v>
      </c>
      <c r="D47" s="77">
        <f t="shared" si="8"/>
        <v>0</v>
      </c>
      <c r="E47" s="77">
        <f t="shared" si="9"/>
        <v>0</v>
      </c>
      <c r="F47" s="77">
        <f t="shared" si="10"/>
        <v>0</v>
      </c>
      <c r="G47" s="77">
        <f t="shared" si="11"/>
        <v>0</v>
      </c>
      <c r="H47" s="77">
        <f t="shared" si="12"/>
        <v>0</v>
      </c>
    </row>
    <row r="48" spans="1:8">
      <c r="A48" s="76" t="str">
        <f t="shared" si="5"/>
        <v>Potato</v>
      </c>
      <c r="B48" s="77">
        <f t="shared" si="6"/>
        <v>0</v>
      </c>
      <c r="C48" s="77">
        <f t="shared" si="7"/>
        <v>0</v>
      </c>
      <c r="D48" s="77">
        <f t="shared" si="8"/>
        <v>0</v>
      </c>
      <c r="E48" s="77">
        <f t="shared" si="9"/>
        <v>0</v>
      </c>
      <c r="F48" s="77">
        <f t="shared" si="10"/>
        <v>0</v>
      </c>
      <c r="G48" s="77">
        <f t="shared" si="11"/>
        <v>0</v>
      </c>
      <c r="H48" s="77">
        <f t="shared" si="12"/>
        <v>0</v>
      </c>
    </row>
    <row r="49" spans="1:8">
      <c r="A49" s="424">
        <f t="shared" si="5"/>
        <v>0</v>
      </c>
      <c r="B49" s="77">
        <f t="shared" si="6"/>
        <v>0</v>
      </c>
      <c r="C49" s="77">
        <f t="shared" si="7"/>
        <v>0</v>
      </c>
      <c r="D49" s="77">
        <f t="shared" si="8"/>
        <v>0</v>
      </c>
      <c r="E49" s="77">
        <f t="shared" si="9"/>
        <v>0</v>
      </c>
      <c r="F49" s="77">
        <f t="shared" si="10"/>
        <v>0</v>
      </c>
      <c r="G49" s="77">
        <f t="shared" si="11"/>
        <v>0</v>
      </c>
      <c r="H49" s="77">
        <f t="shared" si="12"/>
        <v>0</v>
      </c>
    </row>
    <row r="50" spans="1:8">
      <c r="A50" s="424">
        <f t="shared" si="5"/>
        <v>0</v>
      </c>
      <c r="B50" s="77">
        <f t="shared" si="6"/>
        <v>0</v>
      </c>
      <c r="C50" s="77">
        <f t="shared" si="7"/>
        <v>0</v>
      </c>
      <c r="D50" s="77">
        <f t="shared" si="8"/>
        <v>0</v>
      </c>
      <c r="E50" s="77">
        <f t="shared" si="9"/>
        <v>0</v>
      </c>
      <c r="F50" s="77">
        <f t="shared" si="10"/>
        <v>0</v>
      </c>
      <c r="G50" s="77">
        <f t="shared" si="11"/>
        <v>0</v>
      </c>
      <c r="H50" s="77">
        <f t="shared" si="12"/>
        <v>0</v>
      </c>
    </row>
    <row r="51" spans="1:8">
      <c r="A51" s="424">
        <f t="shared" si="5"/>
        <v>0</v>
      </c>
      <c r="B51" s="77">
        <f t="shared" si="6"/>
        <v>0</v>
      </c>
      <c r="C51" s="77">
        <f t="shared" si="7"/>
        <v>0</v>
      </c>
      <c r="D51" s="77">
        <f t="shared" si="8"/>
        <v>0</v>
      </c>
      <c r="E51" s="77">
        <f t="shared" si="9"/>
        <v>0</v>
      </c>
      <c r="F51" s="77">
        <f t="shared" si="10"/>
        <v>0</v>
      </c>
      <c r="G51" s="77">
        <f t="shared" si="11"/>
        <v>0</v>
      </c>
      <c r="H51" s="77">
        <f t="shared" si="12"/>
        <v>0</v>
      </c>
    </row>
    <row r="52" spans="1:8">
      <c r="A52" s="424">
        <f t="shared" si="5"/>
        <v>0</v>
      </c>
      <c r="B52" s="77">
        <f t="shared" si="6"/>
        <v>0</v>
      </c>
      <c r="C52" s="77">
        <f t="shared" si="7"/>
        <v>0</v>
      </c>
      <c r="D52" s="77">
        <f t="shared" si="8"/>
        <v>0</v>
      </c>
      <c r="E52" s="77">
        <f t="shared" si="9"/>
        <v>0</v>
      </c>
      <c r="F52" s="77">
        <f t="shared" si="10"/>
        <v>0</v>
      </c>
      <c r="G52" s="77">
        <f t="shared" si="11"/>
        <v>0</v>
      </c>
      <c r="H52" s="77">
        <f t="shared" si="12"/>
        <v>0</v>
      </c>
    </row>
    <row r="53" spans="1:8">
      <c r="A53" s="76" t="str">
        <f t="shared" si="5"/>
        <v>Onion</v>
      </c>
      <c r="B53" s="77">
        <f t="shared" si="6"/>
        <v>0</v>
      </c>
      <c r="C53" s="77">
        <f t="shared" si="7"/>
        <v>0</v>
      </c>
      <c r="D53" s="77">
        <f t="shared" si="8"/>
        <v>0</v>
      </c>
      <c r="E53" s="77">
        <f t="shared" si="9"/>
        <v>0</v>
      </c>
      <c r="F53" s="77">
        <f t="shared" si="10"/>
        <v>0</v>
      </c>
      <c r="G53" s="77">
        <f t="shared" si="11"/>
        <v>0</v>
      </c>
      <c r="H53" s="77">
        <f t="shared" si="12"/>
        <v>0</v>
      </c>
    </row>
    <row r="54" spans="1:8">
      <c r="A54" s="76" t="str">
        <f t="shared" si="5"/>
        <v>Tomato</v>
      </c>
      <c r="B54" s="77">
        <f t="shared" si="6"/>
        <v>0</v>
      </c>
      <c r="C54" s="77">
        <f t="shared" si="7"/>
        <v>0</v>
      </c>
      <c r="D54" s="77">
        <f t="shared" si="8"/>
        <v>0</v>
      </c>
      <c r="E54" s="77">
        <f t="shared" si="9"/>
        <v>0</v>
      </c>
      <c r="F54" s="77">
        <f t="shared" si="10"/>
        <v>0</v>
      </c>
      <c r="G54" s="77">
        <f t="shared" si="11"/>
        <v>0</v>
      </c>
      <c r="H54" s="77">
        <f t="shared" si="12"/>
        <v>0</v>
      </c>
    </row>
    <row r="55" spans="1:8">
      <c r="A55" s="76" t="str">
        <f t="shared" si="5"/>
        <v>Okra</v>
      </c>
      <c r="B55" s="77">
        <f t="shared" si="6"/>
        <v>0</v>
      </c>
      <c r="C55" s="77">
        <f t="shared" si="7"/>
        <v>0</v>
      </c>
      <c r="D55" s="77">
        <f t="shared" si="8"/>
        <v>0</v>
      </c>
      <c r="E55" s="77">
        <f t="shared" si="9"/>
        <v>0</v>
      </c>
      <c r="F55" s="77">
        <f t="shared" si="10"/>
        <v>0</v>
      </c>
      <c r="G55" s="77">
        <f t="shared" si="11"/>
        <v>0</v>
      </c>
      <c r="H55" s="77">
        <f t="shared" si="12"/>
        <v>0</v>
      </c>
    </row>
    <row r="56" spans="1:8">
      <c r="A56" s="76" t="str">
        <f t="shared" si="5"/>
        <v>Chilli</v>
      </c>
      <c r="B56" s="77">
        <f t="shared" si="6"/>
        <v>0</v>
      </c>
      <c r="C56" s="77">
        <f t="shared" si="7"/>
        <v>0</v>
      </c>
      <c r="D56" s="77">
        <f t="shared" si="8"/>
        <v>0</v>
      </c>
      <c r="E56" s="77">
        <f t="shared" si="9"/>
        <v>0</v>
      </c>
      <c r="F56" s="77">
        <f t="shared" si="10"/>
        <v>0</v>
      </c>
      <c r="G56" s="77">
        <f t="shared" si="11"/>
        <v>0</v>
      </c>
      <c r="H56" s="77">
        <f t="shared" si="12"/>
        <v>0</v>
      </c>
    </row>
    <row r="57" spans="1:8">
      <c r="A57" s="76" t="str">
        <f t="shared" si="5"/>
        <v>Brinjal</v>
      </c>
      <c r="B57" s="77">
        <f t="shared" si="6"/>
        <v>0</v>
      </c>
      <c r="C57" s="77">
        <f t="shared" si="7"/>
        <v>0</v>
      </c>
      <c r="D57" s="77">
        <f t="shared" si="8"/>
        <v>0</v>
      </c>
      <c r="E57" s="77">
        <f t="shared" si="9"/>
        <v>0</v>
      </c>
      <c r="F57" s="77">
        <f t="shared" si="10"/>
        <v>0</v>
      </c>
      <c r="G57" s="77">
        <f t="shared" si="11"/>
        <v>0</v>
      </c>
      <c r="H57" s="77">
        <f t="shared" si="12"/>
        <v>0</v>
      </c>
    </row>
    <row r="58" spans="1:8">
      <c r="A58" s="424">
        <f t="shared" si="5"/>
        <v>0</v>
      </c>
      <c r="B58" s="77">
        <f t="shared" si="6"/>
        <v>0</v>
      </c>
      <c r="C58" s="77">
        <f t="shared" si="7"/>
        <v>0</v>
      </c>
      <c r="D58" s="77">
        <f t="shared" si="8"/>
        <v>0</v>
      </c>
      <c r="E58" s="77">
        <f t="shared" si="9"/>
        <v>0</v>
      </c>
      <c r="F58" s="77">
        <f t="shared" si="10"/>
        <v>0</v>
      </c>
      <c r="G58" s="77">
        <f t="shared" si="11"/>
        <v>0</v>
      </c>
      <c r="H58" s="77">
        <f t="shared" si="12"/>
        <v>0</v>
      </c>
    </row>
    <row r="59" spans="1:8">
      <c r="A59" s="424">
        <f t="shared" si="5"/>
        <v>0</v>
      </c>
      <c r="B59" s="77">
        <f t="shared" si="6"/>
        <v>0</v>
      </c>
      <c r="C59" s="77">
        <f t="shared" si="7"/>
        <v>0</v>
      </c>
      <c r="D59" s="77">
        <f t="shared" si="8"/>
        <v>0</v>
      </c>
      <c r="E59" s="77">
        <f t="shared" si="9"/>
        <v>0</v>
      </c>
      <c r="F59" s="77">
        <f t="shared" si="10"/>
        <v>0</v>
      </c>
      <c r="G59" s="77">
        <f t="shared" si="11"/>
        <v>0</v>
      </c>
      <c r="H59" s="77">
        <f t="shared" si="12"/>
        <v>0</v>
      </c>
    </row>
    <row r="60" spans="1:8">
      <c r="A60" s="424">
        <f t="shared" si="5"/>
        <v>0</v>
      </c>
      <c r="B60" s="77">
        <f t="shared" si="6"/>
        <v>0</v>
      </c>
      <c r="C60" s="77">
        <f t="shared" si="7"/>
        <v>0</v>
      </c>
      <c r="D60" s="77">
        <f t="shared" si="8"/>
        <v>0</v>
      </c>
      <c r="E60" s="77">
        <f t="shared" si="9"/>
        <v>0</v>
      </c>
      <c r="F60" s="77">
        <f t="shared" si="10"/>
        <v>0</v>
      </c>
      <c r="G60" s="77">
        <f t="shared" si="11"/>
        <v>0</v>
      </c>
      <c r="H60" s="77">
        <f t="shared" si="12"/>
        <v>0</v>
      </c>
    </row>
    <row r="61" spans="1:8">
      <c r="A61" s="424">
        <f t="shared" si="5"/>
        <v>0</v>
      </c>
      <c r="B61" s="77">
        <f t="shared" si="6"/>
        <v>0</v>
      </c>
      <c r="C61" s="77">
        <f t="shared" si="7"/>
        <v>0</v>
      </c>
      <c r="D61" s="77">
        <f t="shared" si="8"/>
        <v>0</v>
      </c>
      <c r="E61" s="77">
        <f t="shared" si="9"/>
        <v>0</v>
      </c>
      <c r="F61" s="77">
        <f t="shared" si="10"/>
        <v>0</v>
      </c>
      <c r="G61" s="77">
        <f t="shared" si="11"/>
        <v>0</v>
      </c>
      <c r="H61" s="77">
        <f t="shared" si="12"/>
        <v>0</v>
      </c>
    </row>
    <row r="62" spans="1:8">
      <c r="A62" s="76" t="str">
        <f t="shared" ref="A62" si="13">A34</f>
        <v>Pomegranate</v>
      </c>
      <c r="B62" s="77">
        <f>B34*$B$41</f>
        <v>0</v>
      </c>
      <c r="C62" s="77">
        <f t="shared" ref="C62:H62" si="14">C34*$B$41</f>
        <v>0</v>
      </c>
      <c r="D62" s="77">
        <f t="shared" si="14"/>
        <v>0</v>
      </c>
      <c r="E62" s="77">
        <f t="shared" si="14"/>
        <v>0</v>
      </c>
      <c r="F62" s="77">
        <f t="shared" si="14"/>
        <v>0</v>
      </c>
      <c r="G62" s="77">
        <f t="shared" si="14"/>
        <v>0</v>
      </c>
      <c r="H62" s="77">
        <f t="shared" si="14"/>
        <v>0</v>
      </c>
    </row>
    <row r="63" spans="1:8">
      <c r="A63" s="76" t="str">
        <f>A35</f>
        <v>Custard Apple</v>
      </c>
      <c r="B63" s="77">
        <f t="shared" ref="B63:H63" si="15">B35*$B$41</f>
        <v>0</v>
      </c>
      <c r="C63" s="77">
        <f t="shared" si="15"/>
        <v>0</v>
      </c>
      <c r="D63" s="77">
        <f t="shared" si="15"/>
        <v>0</v>
      </c>
      <c r="E63" s="77">
        <f t="shared" si="15"/>
        <v>0</v>
      </c>
      <c r="F63" s="77">
        <f t="shared" si="15"/>
        <v>0</v>
      </c>
      <c r="G63" s="77">
        <f t="shared" si="15"/>
        <v>0</v>
      </c>
      <c r="H63" s="77">
        <f t="shared" si="15"/>
        <v>0</v>
      </c>
    </row>
    <row r="64" spans="1:8">
      <c r="A64" s="76" t="str">
        <f>A36</f>
        <v>Guava</v>
      </c>
      <c r="B64" s="77">
        <f t="shared" ref="B64:H65" si="16">B36*$B$41</f>
        <v>0</v>
      </c>
      <c r="C64" s="77">
        <f t="shared" si="16"/>
        <v>0</v>
      </c>
      <c r="D64" s="77">
        <f t="shared" si="16"/>
        <v>0</v>
      </c>
      <c r="E64" s="77">
        <f t="shared" si="16"/>
        <v>0</v>
      </c>
      <c r="F64" s="77">
        <f t="shared" si="16"/>
        <v>0</v>
      </c>
      <c r="G64" s="77">
        <f t="shared" si="16"/>
        <v>0</v>
      </c>
      <c r="H64" s="77">
        <f t="shared" si="16"/>
        <v>0</v>
      </c>
    </row>
    <row r="65" spans="1:8">
      <c r="A65" s="76" t="str">
        <f>A37</f>
        <v>Citrus</v>
      </c>
      <c r="B65" s="77">
        <f t="shared" si="16"/>
        <v>0</v>
      </c>
      <c r="C65" s="77">
        <f t="shared" si="16"/>
        <v>0</v>
      </c>
      <c r="D65" s="77">
        <f t="shared" si="16"/>
        <v>0</v>
      </c>
      <c r="E65" s="77">
        <f t="shared" si="16"/>
        <v>0</v>
      </c>
      <c r="F65" s="77">
        <f t="shared" si="16"/>
        <v>0</v>
      </c>
      <c r="G65" s="77">
        <f t="shared" si="16"/>
        <v>0</v>
      </c>
      <c r="H65" s="77">
        <f t="shared" si="16"/>
        <v>0</v>
      </c>
    </row>
    <row r="66" spans="1:8">
      <c r="A66" s="78" t="s">
        <v>278</v>
      </c>
      <c r="B66" s="76"/>
      <c r="C66" s="76"/>
      <c r="D66" s="76"/>
      <c r="E66" s="76"/>
      <c r="F66" s="76"/>
      <c r="G66" s="76"/>
      <c r="H66" s="76"/>
    </row>
    <row r="67" spans="1:8">
      <c r="A67" s="76" t="str">
        <f>A44</f>
        <v>Onion</v>
      </c>
      <c r="B67" s="167"/>
      <c r="C67" s="167"/>
      <c r="D67" s="167"/>
      <c r="E67" s="167"/>
      <c r="F67" s="167"/>
      <c r="G67" s="167"/>
      <c r="H67" s="167"/>
    </row>
    <row r="68" spans="1:8">
      <c r="A68" s="76"/>
      <c r="B68" s="167"/>
      <c r="C68" s="167"/>
      <c r="D68" s="167"/>
      <c r="E68" s="167"/>
      <c r="F68" s="167"/>
      <c r="G68" s="167"/>
      <c r="H68" s="167"/>
    </row>
    <row r="69" spans="1:8">
      <c r="A69" s="76"/>
      <c r="B69" s="167"/>
      <c r="C69" s="167"/>
      <c r="D69" s="167"/>
      <c r="E69" s="167"/>
      <c r="F69" s="167"/>
      <c r="G69" s="167"/>
      <c r="H69" s="167"/>
    </row>
    <row r="70" spans="1:8">
      <c r="A70" s="76"/>
      <c r="B70" s="167"/>
      <c r="C70" s="167"/>
      <c r="D70" s="167"/>
      <c r="E70" s="167"/>
      <c r="F70" s="167"/>
      <c r="G70" s="167"/>
      <c r="H70" s="167"/>
    </row>
    <row r="71" spans="1:8">
      <c r="A71" s="76" t="str">
        <f>A45</f>
        <v>Tomato</v>
      </c>
      <c r="B71" s="77"/>
      <c r="C71" s="77"/>
      <c r="D71" s="77"/>
      <c r="E71" s="77"/>
      <c r="F71" s="77"/>
      <c r="G71" s="77"/>
      <c r="H71" s="77"/>
    </row>
    <row r="72" spans="1:8">
      <c r="A72" s="76"/>
      <c r="B72" s="77"/>
      <c r="C72" s="77"/>
      <c r="D72" s="77"/>
      <c r="E72" s="77"/>
      <c r="F72" s="77"/>
      <c r="G72" s="77"/>
      <c r="H72" s="77"/>
    </row>
    <row r="73" spans="1:8">
      <c r="A73" s="76"/>
      <c r="B73" s="77"/>
      <c r="C73" s="77"/>
      <c r="D73" s="77"/>
      <c r="E73" s="77"/>
      <c r="F73" s="77"/>
      <c r="G73" s="77"/>
      <c r="H73" s="77"/>
    </row>
    <row r="74" spans="1:8">
      <c r="A74" s="76"/>
      <c r="B74" s="77"/>
      <c r="C74" s="77"/>
      <c r="D74" s="77"/>
      <c r="E74" s="77"/>
      <c r="F74" s="77"/>
      <c r="G74" s="77"/>
      <c r="H74" s="77"/>
    </row>
    <row r="75" spans="1:8">
      <c r="A75" s="76" t="str">
        <f>A46</f>
        <v>Okra</v>
      </c>
      <c r="B75" s="77"/>
      <c r="C75" s="77"/>
      <c r="D75" s="77"/>
      <c r="E75" s="77"/>
      <c r="F75" s="77"/>
      <c r="G75" s="77"/>
      <c r="H75" s="77"/>
    </row>
    <row r="76" spans="1:8">
      <c r="A76" s="76"/>
      <c r="B76" s="77"/>
      <c r="C76" s="77"/>
      <c r="D76" s="77"/>
      <c r="E76" s="77"/>
      <c r="F76" s="77"/>
      <c r="G76" s="77"/>
      <c r="H76" s="77"/>
    </row>
    <row r="77" spans="1:8">
      <c r="A77" s="76"/>
      <c r="B77" s="77"/>
      <c r="C77" s="77"/>
      <c r="D77" s="77"/>
      <c r="E77" s="77"/>
      <c r="F77" s="77"/>
      <c r="G77" s="77"/>
      <c r="H77" s="77"/>
    </row>
    <row r="78" spans="1:8">
      <c r="A78" s="76"/>
      <c r="B78" s="77"/>
      <c r="C78" s="77"/>
      <c r="D78" s="77"/>
      <c r="E78" s="77"/>
      <c r="F78" s="77"/>
      <c r="G78" s="77"/>
      <c r="H78" s="77"/>
    </row>
    <row r="79" spans="1:8">
      <c r="A79" s="76" t="str">
        <f>A47</f>
        <v>Chilli</v>
      </c>
      <c r="B79" s="77"/>
      <c r="C79" s="77"/>
      <c r="D79" s="77"/>
      <c r="E79" s="77"/>
      <c r="F79" s="77"/>
      <c r="G79" s="77"/>
      <c r="H79" s="77"/>
    </row>
    <row r="80" spans="1:8">
      <c r="A80" s="76"/>
      <c r="B80" s="77"/>
      <c r="C80" s="77"/>
      <c r="D80" s="77"/>
      <c r="E80" s="77"/>
      <c r="F80" s="77"/>
      <c r="G80" s="77"/>
      <c r="H80" s="77"/>
    </row>
    <row r="81" spans="1:8">
      <c r="A81" s="76"/>
      <c r="B81" s="77"/>
      <c r="C81" s="77"/>
      <c r="D81" s="77"/>
      <c r="E81" s="77"/>
      <c r="F81" s="77"/>
      <c r="G81" s="77"/>
      <c r="H81" s="77"/>
    </row>
    <row r="82" spans="1:8">
      <c r="A82" s="76"/>
      <c r="B82" s="77"/>
      <c r="C82" s="77"/>
      <c r="D82" s="77"/>
      <c r="E82" s="77"/>
      <c r="F82" s="77"/>
      <c r="G82" s="77"/>
      <c r="H82" s="77"/>
    </row>
    <row r="83" spans="1:8">
      <c r="A83" s="76" t="str">
        <f>A48</f>
        <v>Potato</v>
      </c>
      <c r="B83" s="77"/>
      <c r="C83" s="77"/>
      <c r="D83" s="77"/>
      <c r="E83" s="77"/>
      <c r="F83" s="77"/>
      <c r="G83" s="77"/>
      <c r="H83" s="77"/>
    </row>
    <row r="84" spans="1:8">
      <c r="A84" s="76"/>
      <c r="B84" s="77"/>
      <c r="C84" s="77"/>
      <c r="D84" s="77"/>
      <c r="E84" s="77"/>
      <c r="F84" s="77"/>
      <c r="G84" s="77"/>
      <c r="H84" s="77"/>
    </row>
    <row r="85" spans="1:8">
      <c r="A85" s="76"/>
      <c r="B85" s="77"/>
      <c r="C85" s="77"/>
      <c r="D85" s="77"/>
      <c r="E85" s="77"/>
      <c r="F85" s="77"/>
      <c r="G85" s="77"/>
      <c r="H85" s="77"/>
    </row>
    <row r="86" spans="1:8">
      <c r="A86" s="76"/>
      <c r="B86" s="77"/>
      <c r="C86" s="77"/>
      <c r="D86" s="77"/>
      <c r="E86" s="77"/>
      <c r="F86" s="77"/>
      <c r="G86" s="77"/>
      <c r="H86" s="77"/>
    </row>
    <row r="87" spans="1:8">
      <c r="A87" s="76">
        <f>A49</f>
        <v>0</v>
      </c>
      <c r="B87" s="77"/>
      <c r="C87" s="77"/>
      <c r="D87" s="77"/>
      <c r="E87" s="77"/>
      <c r="F87" s="77"/>
      <c r="G87" s="77"/>
      <c r="H87" s="77"/>
    </row>
    <row r="88" spans="1:8">
      <c r="A88" s="76"/>
      <c r="B88" s="77"/>
      <c r="C88" s="77"/>
      <c r="D88" s="77"/>
      <c r="E88" s="77"/>
      <c r="F88" s="77"/>
      <c r="G88" s="77"/>
      <c r="H88" s="77"/>
    </row>
    <row r="89" spans="1:8">
      <c r="A89" s="76"/>
      <c r="B89" s="77"/>
      <c r="C89" s="77"/>
      <c r="D89" s="77"/>
      <c r="E89" s="77"/>
      <c r="F89" s="77"/>
      <c r="G89" s="77"/>
      <c r="H89" s="77"/>
    </row>
    <row r="90" spans="1:8">
      <c r="A90" s="76"/>
      <c r="B90" s="77"/>
      <c r="C90" s="77"/>
      <c r="D90" s="77"/>
      <c r="E90" s="77"/>
      <c r="F90" s="77"/>
      <c r="G90" s="77"/>
      <c r="H90" s="77"/>
    </row>
    <row r="91" spans="1:8">
      <c r="A91" s="76">
        <f>A50</f>
        <v>0</v>
      </c>
      <c r="B91" s="77"/>
      <c r="C91" s="77"/>
      <c r="D91" s="77"/>
      <c r="E91" s="77"/>
      <c r="F91" s="77"/>
      <c r="G91" s="77"/>
      <c r="H91" s="77"/>
    </row>
    <row r="92" spans="1:8">
      <c r="A92" s="76"/>
      <c r="B92" s="77"/>
      <c r="C92" s="77"/>
      <c r="D92" s="77"/>
      <c r="E92" s="77"/>
      <c r="F92" s="77"/>
      <c r="G92" s="77"/>
      <c r="H92" s="77"/>
    </row>
    <row r="93" spans="1:8">
      <c r="A93" s="76"/>
      <c r="B93" s="77"/>
      <c r="C93" s="77"/>
      <c r="D93" s="77"/>
      <c r="E93" s="77"/>
      <c r="F93" s="77"/>
      <c r="G93" s="77"/>
      <c r="H93" s="77"/>
    </row>
    <row r="94" spans="1:8">
      <c r="A94" s="76">
        <f>A51</f>
        <v>0</v>
      </c>
      <c r="B94" s="77"/>
      <c r="C94" s="77"/>
      <c r="D94" s="77"/>
      <c r="E94" s="77"/>
      <c r="F94" s="77"/>
      <c r="G94" s="77"/>
      <c r="H94" s="77"/>
    </row>
    <row r="95" spans="1:8">
      <c r="A95" s="76"/>
      <c r="B95" s="77"/>
      <c r="C95" s="77"/>
      <c r="D95" s="77"/>
      <c r="E95" s="77"/>
      <c r="F95" s="77"/>
      <c r="G95" s="77"/>
      <c r="H95" s="77"/>
    </row>
    <row r="96" spans="1:8">
      <c r="A96" s="76"/>
      <c r="B96" s="77"/>
      <c r="C96" s="77"/>
      <c r="D96" s="77"/>
      <c r="E96" s="77"/>
      <c r="F96" s="77"/>
      <c r="G96" s="77"/>
      <c r="H96" s="77"/>
    </row>
    <row r="97" spans="1:8">
      <c r="A97" s="76"/>
      <c r="B97" s="77"/>
      <c r="C97" s="77"/>
      <c r="D97" s="77"/>
      <c r="E97" s="77"/>
      <c r="F97" s="77"/>
      <c r="G97" s="77"/>
      <c r="H97" s="77"/>
    </row>
    <row r="98" spans="1:8">
      <c r="A98" s="76">
        <f>A52</f>
        <v>0</v>
      </c>
      <c r="B98" s="77"/>
      <c r="C98" s="77"/>
      <c r="D98" s="77"/>
      <c r="E98" s="77"/>
      <c r="F98" s="77"/>
      <c r="G98" s="77"/>
      <c r="H98" s="77"/>
    </row>
    <row r="99" spans="1:8">
      <c r="A99" s="76"/>
      <c r="B99" s="77"/>
      <c r="C99" s="77"/>
      <c r="D99" s="77"/>
      <c r="E99" s="77"/>
      <c r="F99" s="77"/>
      <c r="G99" s="77"/>
      <c r="H99" s="77"/>
    </row>
    <row r="100" spans="1:8">
      <c r="A100" s="76"/>
      <c r="B100" s="77"/>
      <c r="C100" s="77"/>
      <c r="D100" s="77"/>
      <c r="E100" s="77"/>
      <c r="F100" s="77"/>
      <c r="G100" s="77"/>
      <c r="H100" s="77"/>
    </row>
    <row r="101" spans="1:8">
      <c r="A101" s="76"/>
      <c r="B101" s="77"/>
      <c r="C101" s="77"/>
      <c r="D101" s="77"/>
      <c r="E101" s="77"/>
      <c r="F101" s="77"/>
      <c r="G101" s="77"/>
      <c r="H101" s="77"/>
    </row>
    <row r="102" spans="1:8">
      <c r="A102" s="76" t="str">
        <f>A53</f>
        <v>Onion</v>
      </c>
      <c r="B102" s="77"/>
      <c r="C102" s="77"/>
      <c r="D102" s="77"/>
      <c r="E102" s="77"/>
      <c r="F102" s="77"/>
      <c r="G102" s="77"/>
      <c r="H102" s="77"/>
    </row>
    <row r="103" spans="1:8">
      <c r="A103" s="76"/>
      <c r="B103" s="77"/>
      <c r="C103" s="77"/>
      <c r="D103" s="77"/>
      <c r="E103" s="77"/>
      <c r="F103" s="77"/>
      <c r="G103" s="77"/>
      <c r="H103" s="77"/>
    </row>
    <row r="104" spans="1:8">
      <c r="A104" s="76"/>
      <c r="B104" s="77"/>
      <c r="C104" s="77"/>
      <c r="D104" s="77"/>
      <c r="E104" s="77"/>
      <c r="F104" s="77"/>
      <c r="G104" s="77"/>
      <c r="H104" s="77"/>
    </row>
    <row r="105" spans="1:8">
      <c r="A105" s="76"/>
      <c r="B105" s="77"/>
      <c r="C105" s="77"/>
      <c r="D105" s="77"/>
      <c r="E105" s="77"/>
      <c r="F105" s="77"/>
      <c r="G105" s="77"/>
      <c r="H105" s="77"/>
    </row>
    <row r="106" spans="1:8">
      <c r="A106" s="76" t="str">
        <f>A54</f>
        <v>Tomato</v>
      </c>
      <c r="B106" s="77"/>
      <c r="C106" s="77"/>
      <c r="D106" s="77"/>
      <c r="E106" s="77"/>
      <c r="F106" s="77"/>
      <c r="G106" s="77"/>
      <c r="H106" s="77"/>
    </row>
    <row r="107" spans="1:8">
      <c r="A107" s="76"/>
      <c r="B107" s="77"/>
      <c r="C107" s="77"/>
      <c r="D107" s="77"/>
      <c r="E107" s="77"/>
      <c r="F107" s="77"/>
      <c r="G107" s="77"/>
      <c r="H107" s="77"/>
    </row>
    <row r="108" spans="1:8">
      <c r="A108" s="76"/>
      <c r="B108" s="77"/>
      <c r="C108" s="77"/>
      <c r="D108" s="77"/>
      <c r="E108" s="77"/>
      <c r="F108" s="77"/>
      <c r="G108" s="77"/>
      <c r="H108" s="77"/>
    </row>
    <row r="109" spans="1:8">
      <c r="A109" s="76"/>
      <c r="B109" s="77"/>
      <c r="C109" s="77"/>
      <c r="D109" s="77"/>
      <c r="E109" s="77"/>
      <c r="F109" s="77"/>
      <c r="G109" s="77"/>
      <c r="H109" s="77"/>
    </row>
    <row r="110" spans="1:8">
      <c r="A110" s="76" t="str">
        <f>A55</f>
        <v>Okra</v>
      </c>
      <c r="B110" s="77"/>
      <c r="C110" s="77"/>
      <c r="D110" s="77"/>
      <c r="E110" s="77"/>
      <c r="F110" s="77"/>
      <c r="G110" s="77"/>
      <c r="H110" s="77"/>
    </row>
    <row r="111" spans="1:8">
      <c r="A111" s="76"/>
      <c r="B111" s="77"/>
      <c r="C111" s="77"/>
      <c r="D111" s="77"/>
      <c r="E111" s="77"/>
      <c r="F111" s="77"/>
      <c r="G111" s="77"/>
      <c r="H111" s="77"/>
    </row>
    <row r="112" spans="1:8">
      <c r="A112" s="76"/>
      <c r="B112" s="77"/>
      <c r="C112" s="77"/>
      <c r="D112" s="77"/>
      <c r="E112" s="77"/>
      <c r="F112" s="77"/>
      <c r="G112" s="77"/>
      <c r="H112" s="77"/>
    </row>
    <row r="113" spans="1:8">
      <c r="A113" s="76"/>
      <c r="B113" s="77"/>
      <c r="C113" s="77"/>
      <c r="D113" s="77"/>
      <c r="E113" s="77"/>
      <c r="F113" s="77"/>
      <c r="G113" s="77"/>
      <c r="H113" s="77"/>
    </row>
    <row r="114" spans="1:8">
      <c r="A114" s="76" t="str">
        <f>A56</f>
        <v>Chilli</v>
      </c>
      <c r="B114" s="77"/>
      <c r="C114" s="77"/>
      <c r="D114" s="77"/>
      <c r="E114" s="77"/>
      <c r="F114" s="77"/>
      <c r="G114" s="77"/>
      <c r="H114" s="77"/>
    </row>
    <row r="115" spans="1:8">
      <c r="A115" s="76"/>
      <c r="B115" s="77"/>
      <c r="C115" s="77"/>
      <c r="D115" s="77"/>
      <c r="E115" s="77"/>
      <c r="F115" s="77"/>
      <c r="G115" s="77"/>
      <c r="H115" s="77"/>
    </row>
    <row r="116" spans="1:8">
      <c r="A116" s="76"/>
      <c r="B116" s="77"/>
      <c r="C116" s="77"/>
      <c r="D116" s="77"/>
      <c r="E116" s="77"/>
      <c r="F116" s="77"/>
      <c r="G116" s="77"/>
      <c r="H116" s="77"/>
    </row>
    <row r="117" spans="1:8">
      <c r="A117" s="76"/>
      <c r="B117" s="77"/>
      <c r="C117" s="77"/>
      <c r="D117" s="77"/>
      <c r="E117" s="77"/>
      <c r="F117" s="77"/>
      <c r="G117" s="77"/>
      <c r="H117" s="77"/>
    </row>
    <row r="118" spans="1:8">
      <c r="A118" s="78" t="str">
        <f t="shared" ref="A118:A123" si="17">A57</f>
        <v>Brinjal</v>
      </c>
      <c r="B118" s="77"/>
      <c r="C118" s="77"/>
      <c r="D118" s="77"/>
      <c r="E118" s="77"/>
      <c r="F118" s="77"/>
      <c r="G118" s="77"/>
      <c r="H118" s="77"/>
    </row>
    <row r="119" spans="1:8">
      <c r="A119" s="76">
        <f t="shared" si="17"/>
        <v>0</v>
      </c>
      <c r="B119" s="77"/>
      <c r="C119" s="77"/>
      <c r="D119" s="77"/>
      <c r="E119" s="77"/>
      <c r="F119" s="77"/>
      <c r="G119" s="77"/>
      <c r="H119" s="77"/>
    </row>
    <row r="120" spans="1:8">
      <c r="A120" s="76">
        <f t="shared" si="17"/>
        <v>0</v>
      </c>
      <c r="B120" s="77"/>
      <c r="C120" s="77"/>
      <c r="D120" s="77"/>
      <c r="E120" s="77"/>
      <c r="F120" s="77"/>
      <c r="G120" s="77"/>
      <c r="H120" s="77"/>
    </row>
    <row r="121" spans="1:8">
      <c r="A121" s="76">
        <f t="shared" si="17"/>
        <v>0</v>
      </c>
      <c r="B121" s="77"/>
      <c r="C121" s="77"/>
      <c r="D121" s="77"/>
      <c r="E121" s="77"/>
      <c r="F121" s="77"/>
      <c r="G121" s="77"/>
      <c r="H121" s="77"/>
    </row>
    <row r="122" spans="1:8">
      <c r="A122" s="76">
        <f t="shared" si="17"/>
        <v>0</v>
      </c>
      <c r="B122" s="77"/>
      <c r="C122" s="77"/>
      <c r="D122" s="77"/>
      <c r="E122" s="77"/>
      <c r="F122" s="77"/>
      <c r="G122" s="77"/>
      <c r="H122" s="77"/>
    </row>
    <row r="123" spans="1:8">
      <c r="A123" s="78" t="str">
        <f t="shared" si="17"/>
        <v>Pomegranate</v>
      </c>
      <c r="B123" s="77"/>
      <c r="C123" s="77"/>
      <c r="D123" s="77"/>
      <c r="E123" s="77"/>
      <c r="F123" s="77"/>
      <c r="G123" s="77"/>
      <c r="H123" s="77"/>
    </row>
    <row r="124" spans="1:8">
      <c r="A124" s="76" t="s">
        <v>501</v>
      </c>
      <c r="B124" s="77">
        <f>(B$62*50%)*0.7</f>
        <v>0</v>
      </c>
      <c r="C124" s="77">
        <f>(C$62*50%)*0.7</f>
        <v>0</v>
      </c>
      <c r="D124" s="77">
        <f t="shared" ref="D124:H126" si="18">(D$62*50%)*0.7</f>
        <v>0</v>
      </c>
      <c r="E124" s="77">
        <f t="shared" si="18"/>
        <v>0</v>
      </c>
      <c r="F124" s="77">
        <f t="shared" si="18"/>
        <v>0</v>
      </c>
      <c r="G124" s="77">
        <f t="shared" si="18"/>
        <v>0</v>
      </c>
      <c r="H124" s="77">
        <f t="shared" si="18"/>
        <v>0</v>
      </c>
    </row>
    <row r="125" spans="1:8">
      <c r="A125" s="76" t="s">
        <v>499</v>
      </c>
      <c r="B125" s="77">
        <f>(B$62*50%)*0.7*2</f>
        <v>0</v>
      </c>
      <c r="C125" s="77">
        <f>(C$62*50%)*0.7</f>
        <v>0</v>
      </c>
      <c r="D125" s="77">
        <f t="shared" si="18"/>
        <v>0</v>
      </c>
      <c r="E125" s="77">
        <f t="shared" si="18"/>
        <v>0</v>
      </c>
      <c r="F125" s="77">
        <f t="shared" si="18"/>
        <v>0</v>
      </c>
      <c r="G125" s="77">
        <f t="shared" si="18"/>
        <v>0</v>
      </c>
      <c r="H125" s="77">
        <f t="shared" si="18"/>
        <v>0</v>
      </c>
    </row>
    <row r="126" spans="1:8">
      <c r="A126" s="76" t="s">
        <v>500</v>
      </c>
      <c r="B126" s="77">
        <f>(B$62*0.3)*0.2</f>
        <v>0</v>
      </c>
      <c r="C126" s="77">
        <f>(C$62*50%)*0.7</f>
        <v>0</v>
      </c>
      <c r="D126" s="77">
        <f t="shared" si="18"/>
        <v>0</v>
      </c>
      <c r="E126" s="77">
        <f t="shared" si="18"/>
        <v>0</v>
      </c>
      <c r="F126" s="77">
        <f t="shared" si="18"/>
        <v>0</v>
      </c>
      <c r="G126" s="77">
        <f t="shared" si="18"/>
        <v>0</v>
      </c>
      <c r="H126" s="77">
        <f t="shared" si="18"/>
        <v>0</v>
      </c>
    </row>
    <row r="127" spans="1:8">
      <c r="A127" s="76" t="str">
        <f t="shared" ref="A127" si="19">A63</f>
        <v>Custard Apple</v>
      </c>
      <c r="B127" s="77"/>
      <c r="C127" s="77"/>
      <c r="D127" s="77"/>
      <c r="E127" s="77"/>
      <c r="F127" s="77"/>
      <c r="G127" s="77"/>
      <c r="H127" s="77"/>
    </row>
    <row r="128" spans="1:8">
      <c r="A128" s="76"/>
      <c r="B128" s="77"/>
      <c r="C128" s="77"/>
      <c r="D128" s="77"/>
      <c r="E128" s="77"/>
      <c r="F128" s="77"/>
      <c r="G128" s="77"/>
      <c r="H128" s="77"/>
    </row>
    <row r="129" spans="1:8">
      <c r="A129" s="76"/>
      <c r="B129" s="77"/>
      <c r="C129" s="77"/>
      <c r="D129" s="77"/>
      <c r="E129" s="77"/>
      <c r="F129" s="77"/>
      <c r="G129" s="77"/>
      <c r="H129" s="77"/>
    </row>
    <row r="130" spans="1:8">
      <c r="A130" s="76"/>
      <c r="B130" s="77"/>
      <c r="C130" s="77"/>
      <c r="D130" s="77"/>
      <c r="E130" s="77"/>
      <c r="F130" s="77"/>
      <c r="G130" s="77"/>
      <c r="H130" s="77"/>
    </row>
    <row r="131" spans="1:8">
      <c r="A131" s="76" t="str">
        <f>A64</f>
        <v>Guava</v>
      </c>
      <c r="B131" s="77"/>
      <c r="C131" s="77"/>
      <c r="D131" s="77"/>
      <c r="E131" s="77"/>
      <c r="F131" s="77"/>
      <c r="G131" s="77"/>
      <c r="H131" s="77"/>
    </row>
    <row r="132" spans="1:8">
      <c r="A132" s="76"/>
      <c r="B132" s="77"/>
      <c r="C132" s="77"/>
      <c r="D132" s="77"/>
      <c r="E132" s="77"/>
      <c r="F132" s="77"/>
      <c r="G132" s="77"/>
      <c r="H132" s="77"/>
    </row>
    <row r="133" spans="1:8">
      <c r="A133" s="76"/>
      <c r="B133" s="77"/>
      <c r="C133" s="77"/>
      <c r="D133" s="77"/>
      <c r="E133" s="77"/>
      <c r="F133" s="77"/>
      <c r="G133" s="77"/>
      <c r="H133" s="77"/>
    </row>
    <row r="134" spans="1:8">
      <c r="A134" s="76"/>
      <c r="B134" s="77"/>
      <c r="C134" s="77"/>
      <c r="D134" s="77"/>
      <c r="E134" s="77"/>
      <c r="F134" s="77"/>
      <c r="G134" s="77"/>
      <c r="H134" s="77"/>
    </row>
    <row r="135" spans="1:8">
      <c r="A135" s="76" t="str">
        <f>A65</f>
        <v>Citrus</v>
      </c>
      <c r="B135" s="77"/>
      <c r="C135" s="77"/>
      <c r="D135" s="77"/>
      <c r="E135" s="77"/>
      <c r="F135" s="77"/>
      <c r="G135" s="77"/>
      <c r="H135" s="77"/>
    </row>
    <row r="136" spans="1:8">
      <c r="A136" s="76"/>
      <c r="B136" s="77"/>
      <c r="C136" s="77"/>
      <c r="D136" s="77"/>
      <c r="E136" s="77"/>
      <c r="F136" s="77"/>
      <c r="G136" s="77"/>
      <c r="H136" s="77"/>
    </row>
    <row r="137" spans="1:8">
      <c r="A137" s="76"/>
      <c r="B137" s="77"/>
      <c r="C137" s="77"/>
      <c r="D137" s="77"/>
      <c r="E137" s="77"/>
      <c r="F137" s="77"/>
      <c r="G137" s="77"/>
      <c r="H137" s="77"/>
    </row>
    <row r="138" spans="1:8">
      <c r="A138" s="76"/>
      <c r="B138" s="77"/>
      <c r="C138" s="77"/>
      <c r="D138" s="77"/>
      <c r="E138" s="77"/>
      <c r="F138" s="77"/>
      <c r="G138" s="77"/>
      <c r="H138" s="77"/>
    </row>
    <row r="139" spans="1:8">
      <c r="A139" s="164"/>
      <c r="B139" s="233"/>
      <c r="C139" s="233"/>
      <c r="D139" s="233"/>
      <c r="E139" s="233"/>
      <c r="F139" s="233"/>
      <c r="G139" s="233"/>
      <c r="H139" s="233"/>
    </row>
    <row r="140" spans="1:8">
      <c r="A140" s="165" t="s">
        <v>429</v>
      </c>
    </row>
    <row r="141" spans="1:8">
      <c r="A141" t="s">
        <v>504</v>
      </c>
      <c r="B141" s="19">
        <f t="shared" ref="B141:C143" si="20">(B124*100)</f>
        <v>0</v>
      </c>
      <c r="C141" s="19">
        <f t="shared" si="20"/>
        <v>0</v>
      </c>
      <c r="D141" s="19">
        <f t="shared" ref="D141:H141" si="21">(D124*100)</f>
        <v>0</v>
      </c>
      <c r="E141" s="19">
        <f t="shared" si="21"/>
        <v>0</v>
      </c>
      <c r="F141" s="19">
        <f t="shared" si="21"/>
        <v>0</v>
      </c>
      <c r="G141" s="19">
        <f t="shared" si="21"/>
        <v>0</v>
      </c>
      <c r="H141" s="19">
        <f t="shared" si="21"/>
        <v>0</v>
      </c>
    </row>
    <row r="142" spans="1:8">
      <c r="A142" t="s">
        <v>505</v>
      </c>
      <c r="B142" s="19">
        <f t="shared" si="20"/>
        <v>0</v>
      </c>
      <c r="C142" s="19">
        <f t="shared" si="20"/>
        <v>0</v>
      </c>
      <c r="D142" s="19">
        <f t="shared" ref="D142:H142" si="22">(D125*100)</f>
        <v>0</v>
      </c>
      <c r="E142" s="19">
        <f t="shared" si="22"/>
        <v>0</v>
      </c>
      <c r="F142" s="19">
        <f t="shared" si="22"/>
        <v>0</v>
      </c>
      <c r="G142" s="19">
        <f t="shared" si="22"/>
        <v>0</v>
      </c>
      <c r="H142" s="19">
        <f t="shared" si="22"/>
        <v>0</v>
      </c>
    </row>
    <row r="143" spans="1:8">
      <c r="A143" t="s">
        <v>506</v>
      </c>
      <c r="B143" s="19">
        <f t="shared" si="20"/>
        <v>0</v>
      </c>
      <c r="C143" s="19">
        <f t="shared" si="20"/>
        <v>0</v>
      </c>
      <c r="D143" s="19">
        <f t="shared" ref="D143:H143" si="23">(D126*100)</f>
        <v>0</v>
      </c>
      <c r="E143" s="19">
        <f t="shared" si="23"/>
        <v>0</v>
      </c>
      <c r="F143" s="19">
        <f t="shared" si="23"/>
        <v>0</v>
      </c>
      <c r="G143" s="19">
        <f t="shared" si="23"/>
        <v>0</v>
      </c>
      <c r="H143" s="19">
        <f t="shared" si="23"/>
        <v>0</v>
      </c>
    </row>
    <row r="145" spans="1:10">
      <c r="B145" s="19"/>
      <c r="C145" s="19"/>
    </row>
    <row r="146" spans="1:10">
      <c r="B146" s="19"/>
      <c r="C146" s="19"/>
      <c r="D146" s="19"/>
    </row>
    <row r="147" spans="1:10" ht="18.75">
      <c r="A147" s="562" t="s">
        <v>574</v>
      </c>
      <c r="B147" s="562"/>
      <c r="C147" s="562"/>
      <c r="D147" s="562"/>
      <c r="E147" s="562"/>
      <c r="F147" s="562"/>
      <c r="G147" s="562"/>
      <c r="H147" s="562"/>
      <c r="I147" s="562"/>
      <c r="J147" s="562"/>
    </row>
    <row r="148" spans="1:10">
      <c r="A148" s="234"/>
      <c r="B148" s="234"/>
      <c r="C148" s="234"/>
      <c r="D148" s="234"/>
      <c r="E148" s="234"/>
      <c r="F148" s="234"/>
      <c r="G148" s="234"/>
      <c r="H148" s="234"/>
    </row>
    <row r="149" spans="1:10">
      <c r="A149" s="235"/>
      <c r="B149" s="235"/>
      <c r="C149" s="235"/>
      <c r="D149" s="169">
        <v>1</v>
      </c>
      <c r="E149" s="170">
        <f>(D149*5%)+D149</f>
        <v>1.05</v>
      </c>
      <c r="F149" s="170">
        <f t="shared" ref="F149:J149" si="24">(E149*5%)+E149</f>
        <v>1.1025</v>
      </c>
      <c r="G149" s="170">
        <f t="shared" si="24"/>
        <v>1.1576250000000001</v>
      </c>
      <c r="H149" s="170">
        <f t="shared" si="24"/>
        <v>1.2155062500000002</v>
      </c>
      <c r="I149" s="170">
        <f t="shared" si="24"/>
        <v>1.2762815625000004</v>
      </c>
      <c r="J149" s="170">
        <f t="shared" si="24"/>
        <v>1.3400956406250004</v>
      </c>
    </row>
    <row r="150" spans="1:10">
      <c r="A150" s="75"/>
      <c r="B150" s="75"/>
      <c r="C150" s="75"/>
      <c r="D150" s="75"/>
      <c r="E150" s="75"/>
      <c r="F150" s="75"/>
      <c r="G150" s="75"/>
      <c r="H150" s="75"/>
      <c r="I150" s="75"/>
      <c r="J150" s="75"/>
    </row>
    <row r="151" spans="1:10">
      <c r="A151" s="129" t="s">
        <v>0</v>
      </c>
      <c r="B151" s="129" t="s">
        <v>133</v>
      </c>
      <c r="C151" s="129" t="s">
        <v>151</v>
      </c>
      <c r="D151" s="101" t="s">
        <v>2</v>
      </c>
      <c r="E151" s="101" t="s">
        <v>3</v>
      </c>
      <c r="F151" s="101" t="s">
        <v>4</v>
      </c>
      <c r="G151" s="101" t="s">
        <v>5</v>
      </c>
      <c r="H151" s="101" t="s">
        <v>6</v>
      </c>
      <c r="I151" s="101" t="s">
        <v>166</v>
      </c>
      <c r="J151" s="101" t="s">
        <v>165</v>
      </c>
    </row>
    <row r="152" spans="1:10">
      <c r="A152" s="76"/>
      <c r="B152" s="76"/>
      <c r="C152" s="76"/>
      <c r="D152" s="76"/>
      <c r="E152" s="76"/>
      <c r="F152" s="76"/>
      <c r="G152" s="76"/>
      <c r="H152" s="76"/>
      <c r="I152" s="76"/>
      <c r="J152" s="76"/>
    </row>
    <row r="153" spans="1:10">
      <c r="A153" s="78" t="s">
        <v>127</v>
      </c>
      <c r="B153" s="78"/>
      <c r="C153" s="78"/>
      <c r="D153" s="95"/>
      <c r="E153" s="95"/>
      <c r="F153" s="95"/>
      <c r="G153" s="95"/>
      <c r="H153" s="95"/>
      <c r="I153" s="76"/>
      <c r="J153" s="76"/>
    </row>
    <row r="154" spans="1:10">
      <c r="A154" s="76" t="str">
        <f>A124</f>
        <v>Pomegranate Arils</v>
      </c>
      <c r="B154" s="193" t="s">
        <v>503</v>
      </c>
      <c r="C154" s="193">
        <v>200</v>
      </c>
      <c r="D154" s="77">
        <f>(B141*(1-'5.Closing Stock &amp; W Capital'!$D$18)*$C154*D$149)</f>
        <v>0</v>
      </c>
      <c r="E154" s="77">
        <f>(((C141*(1-'5.Closing Stock &amp; W Capital'!$D$18))+(B141*'5.Closing Stock &amp; W Capital'!$D$18))*$C154*E$149)</f>
        <v>0</v>
      </c>
      <c r="F154" s="77">
        <f>(((D141*(1-'5.Closing Stock &amp; W Capital'!$D$18))+(C141*'5.Closing Stock &amp; W Capital'!$D$18))*$C154*F$149)</f>
        <v>0</v>
      </c>
      <c r="G154" s="77">
        <f>(((E141*(1-'5.Closing Stock &amp; W Capital'!$D$18))+(D141*'5.Closing Stock &amp; W Capital'!$D$18))*$C154*G$149)</f>
        <v>0</v>
      </c>
      <c r="H154" s="77">
        <f>(((F141*(1-'5.Closing Stock &amp; W Capital'!$D$18))+(E141*'5.Closing Stock &amp; W Capital'!$D$18))*$C154*H$149)</f>
        <v>0</v>
      </c>
      <c r="I154" s="77">
        <f>(((G141*(1-'5.Closing Stock &amp; W Capital'!$D$18))+(F141*'5.Closing Stock &amp; W Capital'!$D$18))*$C154*I$149)</f>
        <v>0</v>
      </c>
      <c r="J154" s="77">
        <f>(((H141*(1-'5.Closing Stock &amp; W Capital'!$D$18))+(G141*'5.Closing Stock &amp; W Capital'!$D$18))*$C154*J$149)</f>
        <v>0</v>
      </c>
    </row>
    <row r="155" spans="1:10">
      <c r="A155" s="76" t="str">
        <f>A125</f>
        <v>Pomegranate Juice</v>
      </c>
      <c r="B155" s="193" t="s">
        <v>502</v>
      </c>
      <c r="C155" s="193">
        <v>50</v>
      </c>
      <c r="D155" s="77">
        <f>(B142*(1-'5.Closing Stock &amp; W Capital'!$D$18)*$C155*D$149)</f>
        <v>0</v>
      </c>
      <c r="E155" s="77">
        <f>(((C142*(1-'5.Closing Stock &amp; W Capital'!$D$18))+(B142*'5.Closing Stock &amp; W Capital'!$D$18))*$C155*E$149)</f>
        <v>0</v>
      </c>
      <c r="F155" s="77">
        <f>(((D142*(1-'5.Closing Stock &amp; W Capital'!$D$18))+(C142*'5.Closing Stock &amp; W Capital'!$D$18))*$C155*F$149)</f>
        <v>0</v>
      </c>
      <c r="G155" s="77">
        <f>(((E142*(1-'5.Closing Stock &amp; W Capital'!$D$18))+(D142*'5.Closing Stock &amp; W Capital'!$D$18))*$C155*G$149)</f>
        <v>0</v>
      </c>
      <c r="H155" s="77">
        <f>(((F142*(1-'5.Closing Stock &amp; W Capital'!$D$18))+(E142*'5.Closing Stock &amp; W Capital'!$D$18))*$C155*H$149)</f>
        <v>0</v>
      </c>
      <c r="I155" s="77">
        <f>(((G142*(1-'5.Closing Stock &amp; W Capital'!$D$18))+(F142*'5.Closing Stock &amp; W Capital'!$D$18))*$C155*I$149)</f>
        <v>0</v>
      </c>
      <c r="J155" s="77">
        <f>(((H142*(1-'5.Closing Stock &amp; W Capital'!$D$18))+(G142*'5.Closing Stock &amp; W Capital'!$D$18))*$C155*J$149)</f>
        <v>0</v>
      </c>
    </row>
    <row r="156" spans="1:10">
      <c r="A156" s="76" t="str">
        <f>A126</f>
        <v>Pomegranate Powder</v>
      </c>
      <c r="B156" s="193" t="s">
        <v>346</v>
      </c>
      <c r="C156" s="193">
        <v>50</v>
      </c>
      <c r="D156" s="77">
        <f>(B143*(1-'5.Closing Stock &amp; W Capital'!$D$18)*$C156*D$149)</f>
        <v>0</v>
      </c>
      <c r="E156" s="77">
        <f>(((C143*(1-'5.Closing Stock &amp; W Capital'!$D$18))+(B143*'5.Closing Stock &amp; W Capital'!$D$18))*$C156*E$149)</f>
        <v>0</v>
      </c>
      <c r="F156" s="77">
        <f>(((D143*(1-'5.Closing Stock &amp; W Capital'!$D$18))+(C143*'5.Closing Stock &amp; W Capital'!$D$18))*$C156*F$149)</f>
        <v>0</v>
      </c>
      <c r="G156" s="77">
        <f>(((E143*(1-'5.Closing Stock &amp; W Capital'!$D$18))+(D143*'5.Closing Stock &amp; W Capital'!$D$18))*$C156*G$149)</f>
        <v>0</v>
      </c>
      <c r="H156" s="77">
        <f>(((F143*(1-'5.Closing Stock &amp; W Capital'!$D$18))+(E143*'5.Closing Stock &amp; W Capital'!$D$18))*$C156*H$149)</f>
        <v>0</v>
      </c>
      <c r="I156" s="77">
        <f>(((G143*(1-'5.Closing Stock &amp; W Capital'!$D$18))+(F143*'5.Closing Stock &amp; W Capital'!$D$18))*$C156*I$149)</f>
        <v>0</v>
      </c>
      <c r="J156" s="77">
        <f>(((H143*(1-'5.Closing Stock &amp; W Capital'!$D$18))+(G143*'5.Closing Stock &amp; W Capital'!$D$18))*$C156*J$149)</f>
        <v>0</v>
      </c>
    </row>
    <row r="157" spans="1:10">
      <c r="A157" s="76"/>
      <c r="B157" s="193"/>
      <c r="C157" s="193"/>
      <c r="D157" s="77"/>
      <c r="E157" s="77"/>
      <c r="F157" s="77"/>
      <c r="G157" s="77"/>
      <c r="H157" s="77"/>
      <c r="I157" s="77"/>
      <c r="J157" s="77"/>
    </row>
    <row r="158" spans="1:10">
      <c r="A158" s="76"/>
      <c r="B158" s="76"/>
      <c r="C158" s="76"/>
      <c r="D158" s="77"/>
      <c r="E158" s="77"/>
      <c r="F158" s="77"/>
      <c r="G158" s="77"/>
      <c r="H158" s="77"/>
      <c r="I158" s="77"/>
      <c r="J158" s="77"/>
    </row>
    <row r="159" spans="1:10">
      <c r="A159" s="78" t="s">
        <v>127</v>
      </c>
      <c r="B159" s="78"/>
      <c r="C159" s="78"/>
      <c r="D159" s="96">
        <f>SUM(D154:D158)</f>
        <v>0</v>
      </c>
      <c r="E159" s="96">
        <f t="shared" ref="E159:J159" si="25">SUM(E154:E158)</f>
        <v>0</v>
      </c>
      <c r="F159" s="96">
        <f t="shared" si="25"/>
        <v>0</v>
      </c>
      <c r="G159" s="96">
        <f t="shared" si="25"/>
        <v>0</v>
      </c>
      <c r="H159" s="96">
        <f t="shared" si="25"/>
        <v>0</v>
      </c>
      <c r="I159" s="96">
        <f t="shared" si="25"/>
        <v>0</v>
      </c>
      <c r="J159" s="96">
        <f t="shared" si="25"/>
        <v>0</v>
      </c>
    </row>
    <row r="160" spans="1:10">
      <c r="A160" s="76"/>
      <c r="B160" s="76"/>
      <c r="C160" s="76"/>
      <c r="D160" s="77"/>
      <c r="E160" s="77"/>
      <c r="F160" s="77"/>
      <c r="G160" s="77"/>
      <c r="H160" s="77"/>
      <c r="I160" s="77"/>
      <c r="J160" s="77"/>
    </row>
    <row r="161" spans="1:10">
      <c r="A161" s="78" t="s">
        <v>141</v>
      </c>
      <c r="B161" s="78"/>
      <c r="C161" s="78"/>
      <c r="D161" s="77"/>
      <c r="E161" s="77"/>
      <c r="F161" s="77"/>
      <c r="G161" s="77"/>
      <c r="H161" s="77"/>
      <c r="I161" s="77"/>
      <c r="J161" s="77"/>
    </row>
    <row r="162" spans="1:10">
      <c r="A162" s="78" t="s">
        <v>304</v>
      </c>
      <c r="B162" s="78"/>
      <c r="C162" s="76"/>
      <c r="D162" s="77"/>
      <c r="E162" s="77"/>
      <c r="F162" s="77"/>
      <c r="G162" s="77"/>
      <c r="H162" s="77"/>
      <c r="I162" s="77"/>
      <c r="J162" s="77"/>
    </row>
    <row r="163" spans="1:10">
      <c r="A163" s="80" t="s">
        <v>507</v>
      </c>
      <c r="B163" s="193" t="s">
        <v>347</v>
      </c>
      <c r="C163" s="202">
        <v>6000</v>
      </c>
      <c r="D163" s="77">
        <f>B62*$C163*D$149</f>
        <v>0</v>
      </c>
      <c r="E163" s="77">
        <f>C62*$C163*E$149</f>
        <v>0</v>
      </c>
      <c r="F163" s="77">
        <f t="shared" ref="F163:J163" si="26">D62*$C163*F$149</f>
        <v>0</v>
      </c>
      <c r="G163" s="77">
        <f t="shared" si="26"/>
        <v>0</v>
      </c>
      <c r="H163" s="77">
        <f t="shared" si="26"/>
        <v>0</v>
      </c>
      <c r="I163" s="77">
        <f t="shared" si="26"/>
        <v>0</v>
      </c>
      <c r="J163" s="77">
        <f t="shared" si="26"/>
        <v>0</v>
      </c>
    </row>
    <row r="164" spans="1:10">
      <c r="A164" s="76" t="s">
        <v>508</v>
      </c>
      <c r="B164" s="193" t="s">
        <v>347</v>
      </c>
      <c r="C164" s="193">
        <v>2000</v>
      </c>
      <c r="D164" s="77">
        <f>(B62*10%)*$C164*D$149</f>
        <v>0</v>
      </c>
      <c r="E164" s="77">
        <f t="shared" ref="E164:J164" si="27">(C62*10%)*$C164*E$149</f>
        <v>0</v>
      </c>
      <c r="F164" s="77">
        <f t="shared" si="27"/>
        <v>0</v>
      </c>
      <c r="G164" s="77">
        <f t="shared" si="27"/>
        <v>0</v>
      </c>
      <c r="H164" s="77">
        <f t="shared" si="27"/>
        <v>0</v>
      </c>
      <c r="I164" s="77">
        <f t="shared" si="27"/>
        <v>0</v>
      </c>
      <c r="J164" s="77">
        <f t="shared" si="27"/>
        <v>0</v>
      </c>
    </row>
    <row r="165" spans="1:10">
      <c r="A165" s="76" t="s">
        <v>309</v>
      </c>
      <c r="B165" s="193">
        <v>5</v>
      </c>
      <c r="C165" s="193">
        <v>300</v>
      </c>
      <c r="D165" s="77">
        <f t="shared" ref="D165:J165" si="28">B12*$B$165*$C$165*D149</f>
        <v>0</v>
      </c>
      <c r="E165" s="77">
        <f t="shared" si="28"/>
        <v>0</v>
      </c>
      <c r="F165" s="77">
        <f t="shared" si="28"/>
        <v>0</v>
      </c>
      <c r="G165" s="77">
        <f t="shared" si="28"/>
        <v>0</v>
      </c>
      <c r="H165" s="77">
        <f t="shared" si="28"/>
        <v>0</v>
      </c>
      <c r="I165" s="77">
        <f t="shared" si="28"/>
        <v>0</v>
      </c>
      <c r="J165" s="77">
        <f t="shared" si="28"/>
        <v>0</v>
      </c>
    </row>
    <row r="166" spans="1:10">
      <c r="A166" s="76" t="s">
        <v>143</v>
      </c>
      <c r="B166" s="76">
        <f>'2.Capex Details'!H75*0.746*8</f>
        <v>0</v>
      </c>
      <c r="C166" s="193">
        <v>8</v>
      </c>
      <c r="D166" s="77">
        <f t="shared" ref="D166:J166" si="29">$B$166*$C$166*B12*D149</f>
        <v>0</v>
      </c>
      <c r="E166" s="77">
        <f t="shared" si="29"/>
        <v>0</v>
      </c>
      <c r="F166" s="77">
        <f t="shared" si="29"/>
        <v>0</v>
      </c>
      <c r="G166" s="77">
        <f t="shared" si="29"/>
        <v>0</v>
      </c>
      <c r="H166" s="77">
        <f t="shared" si="29"/>
        <v>0</v>
      </c>
      <c r="I166" s="77">
        <f t="shared" si="29"/>
        <v>0</v>
      </c>
      <c r="J166" s="77">
        <f t="shared" si="29"/>
        <v>0</v>
      </c>
    </row>
    <row r="167" spans="1:10">
      <c r="A167" s="76" t="s">
        <v>287</v>
      </c>
      <c r="B167" s="76" t="s">
        <v>347</v>
      </c>
      <c r="C167" s="193">
        <v>10</v>
      </c>
      <c r="D167" s="77">
        <f>B62*$C167*D$149</f>
        <v>0</v>
      </c>
      <c r="E167" s="77">
        <f t="shared" ref="E167:J167" si="30">C62*$C167*E$149</f>
        <v>0</v>
      </c>
      <c r="F167" s="77">
        <f t="shared" si="30"/>
        <v>0</v>
      </c>
      <c r="G167" s="77">
        <f t="shared" si="30"/>
        <v>0</v>
      </c>
      <c r="H167" s="77">
        <f t="shared" si="30"/>
        <v>0</v>
      </c>
      <c r="I167" s="77">
        <f t="shared" si="30"/>
        <v>0</v>
      </c>
      <c r="J167" s="77">
        <f t="shared" si="30"/>
        <v>0</v>
      </c>
    </row>
    <row r="168" spans="1:10">
      <c r="A168" s="90" t="s">
        <v>288</v>
      </c>
      <c r="B168" s="90"/>
      <c r="C168" s="204">
        <v>2</v>
      </c>
      <c r="D168" s="77">
        <f>SUM(B141:B143)*$C$168*D$149</f>
        <v>0</v>
      </c>
      <c r="E168" s="77">
        <f t="shared" ref="E168:J168" si="31">SUM(C141:C143)*$C$168*E$149</f>
        <v>0</v>
      </c>
      <c r="F168" s="77">
        <f t="shared" si="31"/>
        <v>0</v>
      </c>
      <c r="G168" s="77">
        <f t="shared" si="31"/>
        <v>0</v>
      </c>
      <c r="H168" s="77">
        <f t="shared" si="31"/>
        <v>0</v>
      </c>
      <c r="I168" s="77">
        <f t="shared" si="31"/>
        <v>0</v>
      </c>
      <c r="J168" s="77">
        <f t="shared" si="31"/>
        <v>0</v>
      </c>
    </row>
    <row r="169" spans="1:10">
      <c r="A169" s="76" t="s">
        <v>289</v>
      </c>
      <c r="B169" s="76"/>
      <c r="C169" s="193">
        <v>1</v>
      </c>
      <c r="D169" s="77">
        <f>SUM(B141:B143)*$C$169*D$149</f>
        <v>0</v>
      </c>
      <c r="E169" s="77">
        <f t="shared" ref="E169:J169" si="32">SUM(C141:C143)*$C$169*E$149</f>
        <v>0</v>
      </c>
      <c r="F169" s="77">
        <f t="shared" si="32"/>
        <v>0</v>
      </c>
      <c r="G169" s="77">
        <f t="shared" si="32"/>
        <v>0</v>
      </c>
      <c r="H169" s="77">
        <f t="shared" si="32"/>
        <v>0</v>
      </c>
      <c r="I169" s="77">
        <f t="shared" si="32"/>
        <v>0</v>
      </c>
      <c r="J169" s="77">
        <f t="shared" si="32"/>
        <v>0</v>
      </c>
    </row>
    <row r="170" spans="1:10">
      <c r="A170" s="8"/>
      <c r="B170" s="8"/>
      <c r="C170" s="8"/>
      <c r="D170" s="8"/>
      <c r="E170" s="8"/>
      <c r="F170" s="8"/>
      <c r="G170" s="8"/>
      <c r="H170" s="8"/>
      <c r="I170" s="8"/>
      <c r="J170" s="8"/>
    </row>
    <row r="171" spans="1:10">
      <c r="A171" s="8"/>
      <c r="B171" s="8"/>
      <c r="C171" s="8"/>
      <c r="D171" s="8"/>
      <c r="E171" s="8"/>
      <c r="F171" s="8"/>
      <c r="G171" s="8"/>
      <c r="H171" s="8"/>
      <c r="I171" s="8"/>
      <c r="J171" s="8"/>
    </row>
    <row r="172" spans="1:10">
      <c r="A172" s="8"/>
      <c r="B172" s="8"/>
      <c r="C172" s="8"/>
      <c r="D172" s="8"/>
      <c r="E172" s="8"/>
      <c r="F172" s="8"/>
      <c r="G172" s="8"/>
      <c r="H172" s="8"/>
      <c r="I172" s="8"/>
      <c r="J172" s="8"/>
    </row>
    <row r="173" spans="1:10">
      <c r="A173" s="8"/>
      <c r="B173" s="8"/>
      <c r="C173" s="8"/>
      <c r="D173" s="8"/>
      <c r="E173" s="8"/>
      <c r="F173" s="8"/>
      <c r="G173" s="8"/>
      <c r="H173" s="8"/>
      <c r="I173" s="8"/>
      <c r="J173" s="8"/>
    </row>
    <row r="174" spans="1:10">
      <c r="A174" s="171" t="s">
        <v>330</v>
      </c>
      <c r="B174" s="77"/>
      <c r="C174" s="77"/>
      <c r="D174" s="77"/>
      <c r="E174" s="77">
        <f>'5.Closing Stock &amp; W Capital'!F9</f>
        <v>0</v>
      </c>
      <c r="F174" s="77">
        <f>'5.Closing Stock &amp; W Capital'!G9</f>
        <v>0</v>
      </c>
      <c r="G174" s="77">
        <f>'5.Closing Stock &amp; W Capital'!H9</f>
        <v>0</v>
      </c>
      <c r="H174" s="77">
        <f>'5.Closing Stock &amp; W Capital'!I9</f>
        <v>0</v>
      </c>
      <c r="I174" s="77">
        <f>'5.Closing Stock &amp; W Capital'!J9</f>
        <v>0</v>
      </c>
      <c r="J174" s="77">
        <f>'5.Closing Stock &amp; W Capital'!K9</f>
        <v>0</v>
      </c>
    </row>
    <row r="175" spans="1:10">
      <c r="A175" s="171" t="s">
        <v>331</v>
      </c>
      <c r="B175" s="77"/>
      <c r="C175" s="77"/>
      <c r="D175" s="77">
        <f>'5.Closing Stock &amp; W Capital'!E18</f>
        <v>0</v>
      </c>
      <c r="E175" s="77">
        <f>'5.Closing Stock &amp; W Capital'!F18</f>
        <v>0</v>
      </c>
      <c r="F175" s="77">
        <f>'5.Closing Stock &amp; W Capital'!G18</f>
        <v>0</v>
      </c>
      <c r="G175" s="77">
        <f>'5.Closing Stock &amp; W Capital'!H18</f>
        <v>0</v>
      </c>
      <c r="H175" s="77">
        <f>'5.Closing Stock &amp; W Capital'!I18</f>
        <v>0</v>
      </c>
      <c r="I175" s="77">
        <f>'5.Closing Stock &amp; W Capital'!J18</f>
        <v>0</v>
      </c>
      <c r="J175" s="77">
        <f>'5.Closing Stock &amp; W Capital'!K18</f>
        <v>0</v>
      </c>
    </row>
    <row r="176" spans="1:10">
      <c r="A176" s="77"/>
      <c r="B176" s="77"/>
      <c r="C176" s="77"/>
      <c r="D176" s="77"/>
      <c r="E176" s="77"/>
      <c r="F176" s="77"/>
      <c r="G176" s="77"/>
      <c r="H176" s="77"/>
      <c r="I176" s="77"/>
      <c r="J176" s="77"/>
    </row>
    <row r="177" spans="1:10">
      <c r="A177" s="96" t="s">
        <v>310</v>
      </c>
      <c r="B177" s="77"/>
      <c r="C177" s="77"/>
      <c r="D177" s="96">
        <f t="shared" ref="D177:J177" si="33">SUM(D163:D174)-D175</f>
        <v>0</v>
      </c>
      <c r="E177" s="96">
        <f t="shared" si="33"/>
        <v>0</v>
      </c>
      <c r="F177" s="96">
        <f t="shared" si="33"/>
        <v>0</v>
      </c>
      <c r="G177" s="96">
        <f t="shared" si="33"/>
        <v>0</v>
      </c>
      <c r="H177" s="96">
        <f t="shared" si="33"/>
        <v>0</v>
      </c>
      <c r="I177" s="96">
        <f t="shared" si="33"/>
        <v>0</v>
      </c>
      <c r="J177" s="96">
        <f t="shared" si="33"/>
        <v>0</v>
      </c>
    </row>
    <row r="178" spans="1:10">
      <c r="A178" s="75"/>
      <c r="B178" s="75"/>
      <c r="C178" s="75"/>
      <c r="D178" s="75"/>
      <c r="E178" s="75"/>
      <c r="F178" s="75"/>
      <c r="G178" s="75"/>
      <c r="H178" s="75"/>
      <c r="I178" s="75"/>
      <c r="J178" s="75"/>
    </row>
    <row r="179" spans="1:10">
      <c r="A179" s="172" t="s">
        <v>302</v>
      </c>
      <c r="B179" s="172"/>
      <c r="C179" s="172"/>
      <c r="D179" s="96"/>
      <c r="E179" s="96"/>
      <c r="F179" s="96"/>
      <c r="G179" s="96"/>
      <c r="H179" s="96"/>
      <c r="I179" s="96"/>
      <c r="J179" s="96"/>
    </row>
    <row r="180" spans="1:10">
      <c r="A180" s="76" t="s">
        <v>182</v>
      </c>
      <c r="B180" s="193">
        <v>1</v>
      </c>
      <c r="C180" s="202"/>
      <c r="D180" s="77">
        <f t="shared" ref="D180:J180" si="34">$B$180*$C$180*12*D149</f>
        <v>0</v>
      </c>
      <c r="E180" s="77">
        <f t="shared" si="34"/>
        <v>0</v>
      </c>
      <c r="F180" s="77">
        <f t="shared" si="34"/>
        <v>0</v>
      </c>
      <c r="G180" s="77">
        <f t="shared" si="34"/>
        <v>0</v>
      </c>
      <c r="H180" s="77">
        <f t="shared" si="34"/>
        <v>0</v>
      </c>
      <c r="I180" s="77">
        <f t="shared" si="34"/>
        <v>0</v>
      </c>
      <c r="J180" s="77">
        <f t="shared" si="34"/>
        <v>0</v>
      </c>
    </row>
    <row r="181" spans="1:10">
      <c r="A181" s="76" t="s">
        <v>187</v>
      </c>
      <c r="B181" s="193">
        <v>2</v>
      </c>
      <c r="C181" s="202"/>
      <c r="D181" s="77">
        <f t="shared" ref="D181:J181" si="35">$B$181*$C$181*12*D149</f>
        <v>0</v>
      </c>
      <c r="E181" s="77">
        <f t="shared" si="35"/>
        <v>0</v>
      </c>
      <c r="F181" s="77">
        <f t="shared" si="35"/>
        <v>0</v>
      </c>
      <c r="G181" s="77">
        <f t="shared" si="35"/>
        <v>0</v>
      </c>
      <c r="H181" s="77">
        <f t="shared" si="35"/>
        <v>0</v>
      </c>
      <c r="I181" s="77">
        <f t="shared" si="35"/>
        <v>0</v>
      </c>
      <c r="J181" s="77">
        <f t="shared" si="35"/>
        <v>0</v>
      </c>
    </row>
    <row r="182" spans="1:10">
      <c r="A182" s="76"/>
      <c r="B182" s="193"/>
      <c r="C182" s="202"/>
      <c r="D182" s="77"/>
      <c r="E182" s="77"/>
      <c r="F182" s="77"/>
      <c r="G182" s="77"/>
      <c r="H182" s="77"/>
      <c r="I182" s="77"/>
      <c r="J182" s="77"/>
    </row>
    <row r="183" spans="1:10">
      <c r="A183" s="76"/>
      <c r="B183" s="193"/>
      <c r="C183" s="202"/>
      <c r="D183" s="77"/>
      <c r="E183" s="77"/>
      <c r="F183" s="77"/>
      <c r="G183" s="77"/>
      <c r="H183" s="77"/>
      <c r="I183" s="77"/>
      <c r="J183" s="77"/>
    </row>
    <row r="184" spans="1:10">
      <c r="A184" s="76"/>
      <c r="B184" s="193"/>
      <c r="C184" s="202"/>
      <c r="D184" s="77"/>
      <c r="E184" s="77"/>
      <c r="F184" s="77"/>
      <c r="G184" s="77"/>
      <c r="H184" s="77"/>
      <c r="I184" s="77"/>
      <c r="J184" s="77"/>
    </row>
    <row r="185" spans="1:10">
      <c r="A185" s="78" t="s">
        <v>302</v>
      </c>
      <c r="B185" s="78"/>
      <c r="C185" s="78"/>
      <c r="D185" s="96">
        <f>SUM(D180:D184)</f>
        <v>0</v>
      </c>
      <c r="E185" s="96">
        <f t="shared" ref="E185:J185" si="36">SUM(E180:E184)</f>
        <v>0</v>
      </c>
      <c r="F185" s="96">
        <f t="shared" si="36"/>
        <v>0</v>
      </c>
      <c r="G185" s="96">
        <f t="shared" si="36"/>
        <v>0</v>
      </c>
      <c r="H185" s="96">
        <f t="shared" si="36"/>
        <v>0</v>
      </c>
      <c r="I185" s="96">
        <f t="shared" si="36"/>
        <v>0</v>
      </c>
      <c r="J185" s="96">
        <f t="shared" si="36"/>
        <v>0</v>
      </c>
    </row>
    <row r="186" spans="1:10">
      <c r="A186" s="172" t="s">
        <v>290</v>
      </c>
      <c r="B186" s="172"/>
      <c r="C186" s="172"/>
      <c r="D186" s="96">
        <f>D177+D185</f>
        <v>0</v>
      </c>
      <c r="E186" s="96">
        <f t="shared" ref="E186:J186" si="37">E177+E185</f>
        <v>0</v>
      </c>
      <c r="F186" s="96">
        <f t="shared" si="37"/>
        <v>0</v>
      </c>
      <c r="G186" s="96">
        <f t="shared" si="37"/>
        <v>0</v>
      </c>
      <c r="H186" s="96">
        <f t="shared" si="37"/>
        <v>0</v>
      </c>
      <c r="I186" s="96">
        <f t="shared" si="37"/>
        <v>0</v>
      </c>
      <c r="J186" s="96">
        <f t="shared" si="37"/>
        <v>0</v>
      </c>
    </row>
    <row r="187" spans="1:10">
      <c r="A187" s="76"/>
      <c r="B187" s="76"/>
      <c r="C187" s="76"/>
      <c r="D187" s="77"/>
      <c r="E187" s="77"/>
      <c r="F187" s="77"/>
      <c r="G187" s="77"/>
      <c r="H187" s="77"/>
      <c r="I187" s="77"/>
      <c r="J187" s="77"/>
    </row>
    <row r="188" spans="1:10">
      <c r="A188" s="78" t="s">
        <v>7</v>
      </c>
      <c r="B188" s="78"/>
      <c r="C188" s="78"/>
      <c r="D188" s="96">
        <f t="shared" ref="D188:J188" si="38">D159-D186</f>
        <v>0</v>
      </c>
      <c r="E188" s="96">
        <f t="shared" si="38"/>
        <v>0</v>
      </c>
      <c r="F188" s="96">
        <f t="shared" si="38"/>
        <v>0</v>
      </c>
      <c r="G188" s="96">
        <f t="shared" si="38"/>
        <v>0</v>
      </c>
      <c r="H188" s="96">
        <f t="shared" si="38"/>
        <v>0</v>
      </c>
      <c r="I188" s="96">
        <f t="shared" si="38"/>
        <v>0</v>
      </c>
      <c r="J188" s="96">
        <f t="shared" si="38"/>
        <v>0</v>
      </c>
    </row>
    <row r="189" spans="1:10">
      <c r="A189" s="97"/>
      <c r="B189" s="97"/>
      <c r="C189" s="97"/>
      <c r="D189" s="75"/>
      <c r="E189" s="75"/>
      <c r="F189" s="75"/>
      <c r="G189" s="75"/>
      <c r="H189" s="75"/>
      <c r="I189" s="75"/>
      <c r="J189" s="75"/>
    </row>
    <row r="190" spans="1:10">
      <c r="A190" s="75"/>
      <c r="B190" s="75"/>
      <c r="C190" s="75"/>
      <c r="D190" s="75"/>
      <c r="E190" s="75"/>
      <c r="F190" s="75"/>
      <c r="G190" s="75"/>
      <c r="H190" s="75"/>
      <c r="I190" s="75"/>
      <c r="J190" s="75"/>
    </row>
    <row r="191" spans="1:10">
      <c r="A191" s="75"/>
      <c r="B191" s="75"/>
      <c r="C191" s="75"/>
      <c r="D191" s="75"/>
      <c r="E191" s="75"/>
      <c r="F191" s="75"/>
      <c r="G191" s="75"/>
      <c r="H191" s="75"/>
      <c r="I191" s="75"/>
      <c r="J191" s="75"/>
    </row>
    <row r="192" spans="1:10">
      <c r="A192" s="630" t="s">
        <v>401</v>
      </c>
      <c r="B192" s="630"/>
      <c r="C192" s="630"/>
      <c r="D192" s="630"/>
      <c r="E192" s="630"/>
      <c r="F192" s="630"/>
      <c r="G192" s="630"/>
      <c r="H192" s="630"/>
      <c r="I192" s="630"/>
      <c r="J192" s="630"/>
    </row>
    <row r="194" spans="1:5">
      <c r="A194" t="s">
        <v>514</v>
      </c>
    </row>
    <row r="195" spans="1:5">
      <c r="A195">
        <v>1</v>
      </c>
      <c r="B195" t="s">
        <v>527</v>
      </c>
    </row>
    <row r="196" spans="1:5">
      <c r="A196">
        <v>2</v>
      </c>
      <c r="B196" t="s">
        <v>528</v>
      </c>
      <c r="C196" s="52"/>
      <c r="D196" s="52"/>
      <c r="E196" s="52"/>
    </row>
    <row r="197" spans="1:5">
      <c r="A197">
        <v>3</v>
      </c>
      <c r="B197" s="75" t="s">
        <v>577</v>
      </c>
    </row>
    <row r="199" spans="1:5">
      <c r="A199" t="s">
        <v>670</v>
      </c>
      <c r="B199" t="s">
        <v>672</v>
      </c>
    </row>
    <row r="200" spans="1:5">
      <c r="B200" t="s">
        <v>683</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4"/>
  <sheetViews>
    <sheetView topLeftCell="A34" workbookViewId="0">
      <selection activeCell="E64" sqref="E64"/>
    </sheetView>
  </sheetViews>
  <sheetFormatPr defaultRowHeight="12"/>
  <cols>
    <col min="1" max="1" width="5.5703125" style="451" bestFit="1" customWidth="1"/>
    <col min="2" max="2" width="11.28515625" style="451" bestFit="1" customWidth="1"/>
    <col min="3" max="3" width="7.42578125" style="451" bestFit="1" customWidth="1"/>
    <col min="4" max="4" width="7.140625" style="451" bestFit="1" customWidth="1"/>
    <col min="5" max="5" width="7.7109375" style="451" bestFit="1" customWidth="1"/>
    <col min="6" max="6" width="6.7109375" style="451" bestFit="1" customWidth="1"/>
    <col min="7" max="7" width="12.85546875" style="451" bestFit="1" customWidth="1"/>
    <col min="8" max="8" width="6.7109375" style="451" bestFit="1" customWidth="1"/>
    <col min="9" max="9" width="4.5703125" style="502" bestFit="1" customWidth="1"/>
    <col min="10" max="10" width="6.7109375" style="451" bestFit="1" customWidth="1"/>
    <col min="11" max="11" width="9.85546875" style="451" bestFit="1" customWidth="1"/>
    <col min="12" max="12" width="6" style="451" bestFit="1" customWidth="1"/>
    <col min="13" max="13" width="15.42578125" style="452" bestFit="1" customWidth="1"/>
    <col min="14" max="14" width="7.28515625" style="451" bestFit="1" customWidth="1"/>
    <col min="15" max="20" width="7.7109375" style="451" bestFit="1" customWidth="1"/>
    <col min="21" max="16384" width="9.140625" style="451"/>
  </cols>
  <sheetData>
    <row r="1" spans="1:20">
      <c r="B1" s="509" t="s">
        <v>760</v>
      </c>
    </row>
    <row r="2" spans="1:20">
      <c r="A2" s="455" t="s">
        <v>144</v>
      </c>
      <c r="B2" s="455" t="s">
        <v>149</v>
      </c>
      <c r="C2" s="455" t="s">
        <v>709</v>
      </c>
      <c r="D2" s="455" t="s">
        <v>710</v>
      </c>
      <c r="E2" s="455" t="s">
        <v>713</v>
      </c>
      <c r="H2" s="508" t="s">
        <v>765</v>
      </c>
      <c r="M2" s="469" t="s">
        <v>792</v>
      </c>
    </row>
    <row r="3" spans="1:20">
      <c r="A3" s="454">
        <v>1</v>
      </c>
      <c r="B3" s="454" t="s">
        <v>774</v>
      </c>
      <c r="C3" s="497">
        <v>0.6</v>
      </c>
      <c r="D3" s="456">
        <v>40</v>
      </c>
      <c r="E3" s="499">
        <f>ROUND(C3*D3,2)</f>
        <v>24</v>
      </c>
      <c r="G3" s="506" t="s">
        <v>778</v>
      </c>
      <c r="H3" s="507">
        <v>1</v>
      </c>
      <c r="I3" s="508" t="s">
        <v>779</v>
      </c>
      <c r="M3" s="474" t="s">
        <v>0</v>
      </c>
      <c r="N3" s="475" t="s">
        <v>2</v>
      </c>
      <c r="O3" s="475" t="s">
        <v>3</v>
      </c>
      <c r="P3" s="475" t="s">
        <v>4</v>
      </c>
      <c r="Q3" s="475" t="s">
        <v>5</v>
      </c>
      <c r="R3" s="475" t="s">
        <v>6</v>
      </c>
      <c r="S3" s="475" t="s">
        <v>166</v>
      </c>
      <c r="T3" s="475" t="s">
        <v>165</v>
      </c>
    </row>
    <row r="4" spans="1:20">
      <c r="A4" s="454">
        <v>2</v>
      </c>
      <c r="B4" s="454" t="s">
        <v>757</v>
      </c>
      <c r="C4" s="497">
        <v>0.35</v>
      </c>
      <c r="D4" s="456">
        <v>40</v>
      </c>
      <c r="E4" s="499">
        <f t="shared" ref="E4:E12" si="0">ROUND(C4*D4,2)</f>
        <v>14</v>
      </c>
      <c r="I4" s="504" t="s">
        <v>437</v>
      </c>
      <c r="J4" s="451" t="s">
        <v>776</v>
      </c>
      <c r="K4" s="451" t="s">
        <v>777</v>
      </c>
      <c r="M4" s="470" t="s">
        <v>764</v>
      </c>
      <c r="N4" s="456">
        <f>'13.Facility 2 Grain Processing'!B70</f>
        <v>112.05000000000001</v>
      </c>
      <c r="O4" s="456">
        <f>'13.Facility 2 Grain Processing'!C70</f>
        <v>224.10000000000002</v>
      </c>
      <c r="P4" s="456">
        <f>'13.Facility 2 Grain Processing'!D70</f>
        <v>336.15000000000003</v>
      </c>
      <c r="Q4" s="456">
        <f>'13.Facility 2 Grain Processing'!E70</f>
        <v>448.20000000000005</v>
      </c>
      <c r="R4" s="456">
        <f>'13.Facility 2 Grain Processing'!F70</f>
        <v>560.25</v>
      </c>
      <c r="S4" s="456">
        <f>'13.Facility 2 Grain Processing'!G70</f>
        <v>672.3</v>
      </c>
      <c r="T4" s="456">
        <f>'13.Facility 2 Grain Processing'!H70</f>
        <v>784.34999999999991</v>
      </c>
    </row>
    <row r="5" spans="1:20">
      <c r="A5" s="454">
        <v>3</v>
      </c>
      <c r="B5" s="454" t="s">
        <v>759</v>
      </c>
      <c r="C5" s="497">
        <v>0.05</v>
      </c>
      <c r="D5" s="456">
        <v>190</v>
      </c>
      <c r="E5" s="499">
        <f t="shared" si="0"/>
        <v>9.5</v>
      </c>
      <c r="G5" s="451" t="s">
        <v>774</v>
      </c>
      <c r="H5" s="501">
        <f>C3</f>
        <v>0.6</v>
      </c>
      <c r="I5" s="505">
        <f>H5/H3</f>
        <v>0.6</v>
      </c>
      <c r="J5" s="459">
        <f>E3</f>
        <v>24</v>
      </c>
      <c r="K5" s="451">
        <f>J5/H5</f>
        <v>40</v>
      </c>
      <c r="M5" s="471" t="s">
        <v>437</v>
      </c>
      <c r="N5" s="472">
        <f>N4/N10</f>
        <v>0.35055350553505538</v>
      </c>
      <c r="O5" s="472">
        <f t="shared" ref="O5:T5" si="1">O4/O10</f>
        <v>0.35055350553505538</v>
      </c>
      <c r="P5" s="472">
        <f t="shared" si="1"/>
        <v>0.35055350553505527</v>
      </c>
      <c r="Q5" s="472">
        <f t="shared" si="1"/>
        <v>0.35055350553505538</v>
      </c>
      <c r="R5" s="472">
        <f t="shared" si="1"/>
        <v>0.35055350553505532</v>
      </c>
      <c r="S5" s="472">
        <f t="shared" si="1"/>
        <v>0.35055350553505532</v>
      </c>
      <c r="T5" s="472">
        <f t="shared" si="1"/>
        <v>0.35055350553505532</v>
      </c>
    </row>
    <row r="6" spans="1:20">
      <c r="A6" s="454">
        <v>4</v>
      </c>
      <c r="B6" s="454" t="s">
        <v>708</v>
      </c>
      <c r="C6" s="497">
        <v>0.01</v>
      </c>
      <c r="D6" s="456">
        <v>10</v>
      </c>
      <c r="E6" s="499">
        <f t="shared" si="0"/>
        <v>0.1</v>
      </c>
      <c r="G6" s="451" t="s">
        <v>757</v>
      </c>
      <c r="H6" s="501">
        <f>C4</f>
        <v>0.35</v>
      </c>
      <c r="I6" s="505">
        <f>H6/H3</f>
        <v>0.35</v>
      </c>
      <c r="J6" s="459">
        <f>E4</f>
        <v>14</v>
      </c>
      <c r="K6" s="451">
        <f>J6/H6</f>
        <v>40</v>
      </c>
      <c r="M6" s="470" t="s">
        <v>774</v>
      </c>
      <c r="N6" s="456">
        <f>'13.Facility 2 Grain Processing'!B71</f>
        <v>191.60550000000001</v>
      </c>
      <c r="O6" s="456">
        <f>'13.Facility 2 Grain Processing'!C71</f>
        <v>383.21100000000001</v>
      </c>
      <c r="P6" s="456">
        <f>'13.Facility 2 Grain Processing'!D71</f>
        <v>574.81650000000013</v>
      </c>
      <c r="Q6" s="456">
        <f>'13.Facility 2 Grain Processing'!E71</f>
        <v>766.42200000000003</v>
      </c>
      <c r="R6" s="456">
        <f>'13.Facility 2 Grain Processing'!F71</f>
        <v>958.02750000000003</v>
      </c>
      <c r="S6" s="456">
        <f>'13.Facility 2 Grain Processing'!G71</f>
        <v>1149.633</v>
      </c>
      <c r="T6" s="456">
        <f>'13.Facility 2 Grain Processing'!H71</f>
        <v>1341.2384999999999</v>
      </c>
    </row>
    <row r="7" spans="1:20">
      <c r="A7" s="454">
        <v>5</v>
      </c>
      <c r="B7" s="454" t="s">
        <v>758</v>
      </c>
      <c r="C7" s="497">
        <v>0.05</v>
      </c>
      <c r="D7" s="456">
        <v>5</v>
      </c>
      <c r="E7" s="499">
        <f t="shared" si="0"/>
        <v>0.25</v>
      </c>
      <c r="G7" s="451" t="s">
        <v>775</v>
      </c>
      <c r="H7" s="501">
        <f>H3-H5-H6</f>
        <v>5.0000000000000044E-2</v>
      </c>
      <c r="I7" s="505">
        <f>H7/H3</f>
        <v>5.0000000000000044E-2</v>
      </c>
      <c r="J7" s="459">
        <f>SUM(E5:E12)</f>
        <v>9.85</v>
      </c>
      <c r="K7" s="451">
        <f>J7/H7</f>
        <v>196.99999999999983</v>
      </c>
      <c r="M7" s="471" t="s">
        <v>437</v>
      </c>
      <c r="N7" s="472">
        <f>N6/N10</f>
        <v>0.59944649446494458</v>
      </c>
      <c r="O7" s="472">
        <f t="shared" ref="O7:T7" si="2">O6/O10</f>
        <v>0.59944649446494458</v>
      </c>
      <c r="P7" s="472">
        <f t="shared" si="2"/>
        <v>0.59944649446494458</v>
      </c>
      <c r="Q7" s="472">
        <f t="shared" si="2"/>
        <v>0.59944649446494458</v>
      </c>
      <c r="R7" s="472">
        <f t="shared" si="2"/>
        <v>0.59944649446494469</v>
      </c>
      <c r="S7" s="472">
        <f t="shared" si="2"/>
        <v>0.59944649446494469</v>
      </c>
      <c r="T7" s="472">
        <f t="shared" si="2"/>
        <v>0.59944649446494469</v>
      </c>
    </row>
    <row r="8" spans="1:20">
      <c r="A8" s="454">
        <v>6</v>
      </c>
      <c r="B8" s="454"/>
      <c r="C8" s="497"/>
      <c r="D8" s="456">
        <v>0</v>
      </c>
      <c r="E8" s="499">
        <f t="shared" si="0"/>
        <v>0</v>
      </c>
      <c r="M8" s="470" t="s">
        <v>712</v>
      </c>
      <c r="N8" s="456">
        <f>N10-N4-N6</f>
        <v>15.981868421052638</v>
      </c>
      <c r="O8" s="456">
        <f t="shared" ref="O8:T8" si="3">O10-O4-O6</f>
        <v>31.963736842105277</v>
      </c>
      <c r="P8" s="456">
        <f t="shared" si="3"/>
        <v>47.945605263158086</v>
      </c>
      <c r="Q8" s="456">
        <f t="shared" si="3"/>
        <v>63.927473684210554</v>
      </c>
      <c r="R8" s="456">
        <f t="shared" si="3"/>
        <v>79.909342105263136</v>
      </c>
      <c r="S8" s="456">
        <f t="shared" si="3"/>
        <v>95.891210526315717</v>
      </c>
      <c r="T8" s="456">
        <f t="shared" si="3"/>
        <v>111.87307894736841</v>
      </c>
    </row>
    <row r="9" spans="1:20">
      <c r="A9" s="454">
        <v>7</v>
      </c>
      <c r="B9" s="454"/>
      <c r="C9" s="497"/>
      <c r="D9" s="456">
        <v>0</v>
      </c>
      <c r="E9" s="499">
        <f t="shared" si="0"/>
        <v>0</v>
      </c>
      <c r="M9" s="471" t="s">
        <v>437</v>
      </c>
      <c r="N9" s="472">
        <f>N8/N10</f>
        <v>5.0000000000000017E-2</v>
      </c>
      <c r="O9" s="472">
        <f t="shared" ref="O9:T9" si="4">O8/O10</f>
        <v>5.0000000000000017E-2</v>
      </c>
      <c r="P9" s="472">
        <f t="shared" si="4"/>
        <v>5.0000000000000183E-2</v>
      </c>
      <c r="Q9" s="472">
        <f t="shared" si="4"/>
        <v>5.0000000000000017E-2</v>
      </c>
      <c r="R9" s="472">
        <f t="shared" si="4"/>
        <v>4.9999999999999989E-2</v>
      </c>
      <c r="S9" s="472">
        <f t="shared" si="4"/>
        <v>4.9999999999999961E-2</v>
      </c>
      <c r="T9" s="472">
        <f t="shared" si="4"/>
        <v>0.05</v>
      </c>
    </row>
    <row r="10" spans="1:20">
      <c r="A10" s="454">
        <v>8</v>
      </c>
      <c r="B10" s="454"/>
      <c r="C10" s="497"/>
      <c r="D10" s="456">
        <v>0</v>
      </c>
      <c r="E10" s="499">
        <f t="shared" si="0"/>
        <v>0</v>
      </c>
      <c r="M10" s="470" t="s">
        <v>1</v>
      </c>
      <c r="N10" s="456">
        <f>((N4+N6)*100)/95</f>
        <v>319.63736842105266</v>
      </c>
      <c r="O10" s="456">
        <f t="shared" ref="O10:T10" si="5">((O4+O6)*100)/95</f>
        <v>639.27473684210531</v>
      </c>
      <c r="P10" s="456">
        <f t="shared" si="5"/>
        <v>958.9121052631582</v>
      </c>
      <c r="Q10" s="456">
        <f t="shared" si="5"/>
        <v>1278.5494736842106</v>
      </c>
      <c r="R10" s="456">
        <f t="shared" si="5"/>
        <v>1598.1868421052632</v>
      </c>
      <c r="S10" s="456">
        <f t="shared" si="5"/>
        <v>1917.8242105263157</v>
      </c>
      <c r="T10" s="456">
        <f t="shared" si="5"/>
        <v>2237.4615789473683</v>
      </c>
    </row>
    <row r="11" spans="1:20">
      <c r="A11" s="454">
        <v>9</v>
      </c>
      <c r="B11" s="454"/>
      <c r="C11" s="497"/>
      <c r="D11" s="456">
        <v>0</v>
      </c>
      <c r="E11" s="499">
        <f t="shared" si="0"/>
        <v>0</v>
      </c>
    </row>
    <row r="12" spans="1:20">
      <c r="A12" s="454">
        <v>10</v>
      </c>
      <c r="B12" s="454"/>
      <c r="C12" s="497"/>
      <c r="D12" s="456">
        <v>0</v>
      </c>
      <c r="E12" s="499">
        <f t="shared" si="0"/>
        <v>0</v>
      </c>
    </row>
    <row r="13" spans="1:20">
      <c r="A13" s="455"/>
      <c r="B13" s="455" t="s">
        <v>1</v>
      </c>
      <c r="C13" s="498">
        <f>SUM(C3:C12)</f>
        <v>1.06</v>
      </c>
      <c r="D13" s="457"/>
      <c r="E13" s="500">
        <f>SUM(E3:E12)</f>
        <v>47.85</v>
      </c>
      <c r="N13" s="527"/>
    </row>
    <row r="14" spans="1:20">
      <c r="C14" s="459"/>
      <c r="N14" s="452"/>
      <c r="O14" s="452"/>
      <c r="P14" s="452"/>
      <c r="Q14" s="452"/>
      <c r="R14" s="452"/>
      <c r="S14" s="452"/>
      <c r="T14" s="452"/>
    </row>
    <row r="15" spans="1:20">
      <c r="B15" s="509" t="s">
        <v>761</v>
      </c>
      <c r="N15" s="452"/>
      <c r="O15" s="452"/>
      <c r="P15" s="452"/>
      <c r="Q15" s="452"/>
      <c r="R15" s="452"/>
      <c r="S15" s="452"/>
      <c r="T15" s="452"/>
    </row>
    <row r="16" spans="1:20">
      <c r="A16" s="455" t="s">
        <v>144</v>
      </c>
      <c r="B16" s="455" t="s">
        <v>149</v>
      </c>
      <c r="C16" s="455" t="s">
        <v>709</v>
      </c>
      <c r="D16" s="455" t="s">
        <v>710</v>
      </c>
      <c r="E16" s="455" t="s">
        <v>713</v>
      </c>
      <c r="N16" s="452"/>
      <c r="O16" s="452"/>
      <c r="P16" s="452"/>
      <c r="Q16" s="452"/>
      <c r="R16" s="452"/>
      <c r="S16" s="452"/>
      <c r="T16" s="452"/>
    </row>
    <row r="17" spans="1:20">
      <c r="A17" s="454">
        <v>1</v>
      </c>
      <c r="B17" s="454" t="s">
        <v>756</v>
      </c>
      <c r="C17" s="497">
        <v>0.6</v>
      </c>
      <c r="D17" s="456">
        <v>40</v>
      </c>
      <c r="E17" s="499">
        <f>ROUND(C17*D17,2)</f>
        <v>24</v>
      </c>
      <c r="H17" s="508" t="s">
        <v>765</v>
      </c>
      <c r="N17" s="452"/>
      <c r="O17" s="452"/>
      <c r="P17" s="452"/>
      <c r="Q17" s="452"/>
      <c r="R17" s="452"/>
      <c r="S17" s="452"/>
      <c r="T17" s="452"/>
    </row>
    <row r="18" spans="1:20">
      <c r="A18" s="454">
        <v>2</v>
      </c>
      <c r="B18" s="454" t="s">
        <v>757</v>
      </c>
      <c r="C18" s="497">
        <v>0.35</v>
      </c>
      <c r="D18" s="456">
        <v>40</v>
      </c>
      <c r="E18" s="499">
        <f t="shared" ref="E18:E26" si="6">ROUND(C18*D18,2)</f>
        <v>14</v>
      </c>
      <c r="G18" s="506" t="s">
        <v>778</v>
      </c>
      <c r="H18" s="507">
        <v>1</v>
      </c>
      <c r="I18" s="508" t="s">
        <v>779</v>
      </c>
      <c r="N18" s="452"/>
      <c r="O18" s="452"/>
      <c r="P18" s="452"/>
      <c r="Q18" s="452"/>
      <c r="R18" s="452"/>
      <c r="S18" s="452"/>
      <c r="T18" s="452"/>
    </row>
    <row r="19" spans="1:20">
      <c r="A19" s="454">
        <v>3</v>
      </c>
      <c r="B19" s="454" t="s">
        <v>759</v>
      </c>
      <c r="C19" s="497">
        <v>0.05</v>
      </c>
      <c r="D19" s="456">
        <v>190</v>
      </c>
      <c r="E19" s="499">
        <f t="shared" si="6"/>
        <v>9.5</v>
      </c>
      <c r="I19" s="504" t="s">
        <v>437</v>
      </c>
      <c r="J19" s="451" t="s">
        <v>776</v>
      </c>
      <c r="K19" s="451" t="s">
        <v>777</v>
      </c>
      <c r="N19" s="452"/>
      <c r="O19" s="452"/>
      <c r="P19" s="452"/>
      <c r="Q19" s="452"/>
      <c r="R19" s="452"/>
      <c r="S19" s="452"/>
      <c r="T19" s="452"/>
    </row>
    <row r="20" spans="1:20">
      <c r="A20" s="454">
        <v>4</v>
      </c>
      <c r="B20" s="454" t="s">
        <v>708</v>
      </c>
      <c r="C20" s="497">
        <v>0.01</v>
      </c>
      <c r="D20" s="456">
        <v>10</v>
      </c>
      <c r="E20" s="499">
        <f t="shared" si="6"/>
        <v>0.1</v>
      </c>
      <c r="G20" s="451" t="s">
        <v>774</v>
      </c>
      <c r="H20" s="501">
        <f>C17</f>
        <v>0.6</v>
      </c>
      <c r="I20" s="505">
        <f>H20/H18</f>
        <v>0.6</v>
      </c>
      <c r="J20" s="459">
        <f>E17</f>
        <v>24</v>
      </c>
      <c r="K20" s="451">
        <f>J20/H20</f>
        <v>40</v>
      </c>
      <c r="N20" s="452"/>
      <c r="O20" s="452"/>
      <c r="P20" s="452"/>
      <c r="Q20" s="452"/>
      <c r="R20" s="452"/>
      <c r="S20" s="452"/>
      <c r="T20" s="452"/>
    </row>
    <row r="21" spans="1:20">
      <c r="A21" s="454">
        <v>5</v>
      </c>
      <c r="B21" s="454" t="s">
        <v>758</v>
      </c>
      <c r="C21" s="497">
        <v>0.05</v>
      </c>
      <c r="D21" s="456">
        <v>5</v>
      </c>
      <c r="E21" s="499">
        <f t="shared" si="6"/>
        <v>0.25</v>
      </c>
      <c r="G21" s="451" t="s">
        <v>757</v>
      </c>
      <c r="H21" s="501">
        <f>C18</f>
        <v>0.35</v>
      </c>
      <c r="I21" s="505">
        <f>H21/H18</f>
        <v>0.35</v>
      </c>
      <c r="J21" s="459">
        <f>E18</f>
        <v>14</v>
      </c>
      <c r="K21" s="451">
        <f>J21/H21</f>
        <v>40</v>
      </c>
      <c r="N21" s="452"/>
      <c r="O21" s="452"/>
      <c r="P21" s="452"/>
      <c r="Q21" s="452"/>
      <c r="R21" s="452"/>
      <c r="S21" s="452"/>
      <c r="T21" s="452"/>
    </row>
    <row r="22" spans="1:20">
      <c r="A22" s="454">
        <v>6</v>
      </c>
      <c r="B22" s="454"/>
      <c r="C22" s="497"/>
      <c r="D22" s="456">
        <v>0</v>
      </c>
      <c r="E22" s="499">
        <f t="shared" si="6"/>
        <v>0</v>
      </c>
      <c r="G22" s="451" t="s">
        <v>775</v>
      </c>
      <c r="H22" s="501">
        <f>H18-H20-H21</f>
        <v>5.0000000000000044E-2</v>
      </c>
      <c r="I22" s="505">
        <f>H22/H18</f>
        <v>5.0000000000000044E-2</v>
      </c>
      <c r="J22" s="459">
        <f>SUM(E19:E26)</f>
        <v>9.85</v>
      </c>
      <c r="K22" s="451">
        <f>J22/H22</f>
        <v>196.99999999999983</v>
      </c>
      <c r="N22" s="452"/>
      <c r="O22" s="452"/>
      <c r="P22" s="452"/>
      <c r="Q22" s="452"/>
      <c r="R22" s="452"/>
      <c r="S22" s="452"/>
      <c r="T22" s="452"/>
    </row>
    <row r="23" spans="1:20">
      <c r="A23" s="454">
        <v>7</v>
      </c>
      <c r="B23" s="454"/>
      <c r="C23" s="497"/>
      <c r="D23" s="456">
        <v>0</v>
      </c>
      <c r="E23" s="499">
        <f t="shared" si="6"/>
        <v>0</v>
      </c>
      <c r="N23" s="452"/>
      <c r="O23" s="452"/>
      <c r="P23" s="452"/>
      <c r="Q23" s="452"/>
      <c r="R23" s="452"/>
      <c r="S23" s="452"/>
      <c r="T23" s="452"/>
    </row>
    <row r="24" spans="1:20">
      <c r="A24" s="454">
        <v>8</v>
      </c>
      <c r="B24" s="454"/>
      <c r="C24" s="497"/>
      <c r="D24" s="456">
        <v>0</v>
      </c>
      <c r="E24" s="499">
        <f t="shared" si="6"/>
        <v>0</v>
      </c>
    </row>
    <row r="25" spans="1:20">
      <c r="A25" s="454">
        <v>9</v>
      </c>
      <c r="B25" s="454"/>
      <c r="C25" s="497"/>
      <c r="D25" s="456">
        <v>0</v>
      </c>
      <c r="E25" s="499">
        <f t="shared" si="6"/>
        <v>0</v>
      </c>
    </row>
    <row r="26" spans="1:20">
      <c r="A26" s="454">
        <v>10</v>
      </c>
      <c r="B26" s="454"/>
      <c r="C26" s="497"/>
      <c r="D26" s="456">
        <v>0</v>
      </c>
      <c r="E26" s="499">
        <f t="shared" si="6"/>
        <v>0</v>
      </c>
    </row>
    <row r="27" spans="1:20">
      <c r="A27" s="455"/>
      <c r="B27" s="455" t="s">
        <v>1</v>
      </c>
      <c r="C27" s="498">
        <f>SUM(C17:C26)</f>
        <v>1.06</v>
      </c>
      <c r="D27" s="457"/>
      <c r="E27" s="500">
        <f>SUM(E17:E26)</f>
        <v>47.85</v>
      </c>
    </row>
    <row r="29" spans="1:20">
      <c r="B29" s="509" t="s">
        <v>763</v>
      </c>
      <c r="M29" s="469" t="s">
        <v>790</v>
      </c>
    </row>
    <row r="30" spans="1:20">
      <c r="A30" s="455" t="s">
        <v>144</v>
      </c>
      <c r="B30" s="455" t="s">
        <v>149</v>
      </c>
      <c r="C30" s="455" t="s">
        <v>709</v>
      </c>
      <c r="D30" s="455" t="s">
        <v>710</v>
      </c>
      <c r="E30" s="455" t="s">
        <v>713</v>
      </c>
      <c r="H30" s="508" t="s">
        <v>765</v>
      </c>
      <c r="M30" s="474" t="s">
        <v>0</v>
      </c>
      <c r="N30" s="475" t="s">
        <v>2</v>
      </c>
      <c r="O30" s="475" t="s">
        <v>3</v>
      </c>
      <c r="P30" s="475" t="s">
        <v>4</v>
      </c>
      <c r="Q30" s="475" t="s">
        <v>5</v>
      </c>
      <c r="R30" s="475" t="s">
        <v>6</v>
      </c>
      <c r="S30" s="475" t="s">
        <v>166</v>
      </c>
      <c r="T30" s="475" t="s">
        <v>165</v>
      </c>
    </row>
    <row r="31" spans="1:20">
      <c r="A31" s="454">
        <v>1</v>
      </c>
      <c r="B31" s="454" t="s">
        <v>762</v>
      </c>
      <c r="C31" s="497">
        <v>0.95</v>
      </c>
      <c r="D31" s="456">
        <v>40</v>
      </c>
      <c r="E31" s="499">
        <f>ROUND(C31*D31,2)</f>
        <v>38</v>
      </c>
      <c r="G31" s="506" t="s">
        <v>778</v>
      </c>
      <c r="H31" s="507">
        <v>1</v>
      </c>
      <c r="I31" s="508" t="s">
        <v>779</v>
      </c>
      <c r="M31" s="470" t="s">
        <v>762</v>
      </c>
      <c r="N31" s="456">
        <f>'13.Facility 2 Grain Processing'!B64</f>
        <v>179.28</v>
      </c>
      <c r="O31" s="456">
        <f>'13.Facility 2 Grain Processing'!C64</f>
        <v>358.56</v>
      </c>
      <c r="P31" s="456">
        <f>'13.Facility 2 Grain Processing'!D64</f>
        <v>537.84</v>
      </c>
      <c r="Q31" s="456">
        <f>'13.Facility 2 Grain Processing'!E64</f>
        <v>717.11999999999989</v>
      </c>
      <c r="R31" s="456">
        <f>'13.Facility 2 Grain Processing'!F64</f>
        <v>896.39999999999986</v>
      </c>
      <c r="S31" s="456">
        <f>'13.Facility 2 Grain Processing'!G64</f>
        <v>1075.6799999999998</v>
      </c>
      <c r="T31" s="456">
        <f>'13.Facility 2 Grain Processing'!H64</f>
        <v>1254.9599999999998</v>
      </c>
    </row>
    <row r="32" spans="1:20">
      <c r="A32" s="454">
        <v>2</v>
      </c>
      <c r="B32" s="454" t="s">
        <v>759</v>
      </c>
      <c r="C32" s="497">
        <v>0.05</v>
      </c>
      <c r="D32" s="456">
        <v>40</v>
      </c>
      <c r="E32" s="499">
        <f t="shared" ref="E32:E35" si="7">ROUND(C32*D32,2)</f>
        <v>2</v>
      </c>
      <c r="I32" s="504" t="s">
        <v>437</v>
      </c>
      <c r="J32" s="451" t="s">
        <v>776</v>
      </c>
      <c r="K32" s="451" t="s">
        <v>777</v>
      </c>
      <c r="M32" s="471" t="s">
        <v>437</v>
      </c>
      <c r="N32" s="472">
        <f>N31/N35</f>
        <v>0.95000000000000007</v>
      </c>
      <c r="O32" s="472">
        <f t="shared" ref="O32:T32" si="8">O31/O35</f>
        <v>0.95000000000000007</v>
      </c>
      <c r="P32" s="472">
        <f t="shared" si="8"/>
        <v>0.95000000000000007</v>
      </c>
      <c r="Q32" s="472">
        <f t="shared" si="8"/>
        <v>0.95000000000000007</v>
      </c>
      <c r="R32" s="472">
        <f t="shared" si="8"/>
        <v>0.95</v>
      </c>
      <c r="S32" s="472">
        <f t="shared" si="8"/>
        <v>0.95000000000000007</v>
      </c>
      <c r="T32" s="472">
        <f t="shared" si="8"/>
        <v>0.95</v>
      </c>
    </row>
    <row r="33" spans="1:20">
      <c r="A33" s="454">
        <v>3</v>
      </c>
      <c r="B33" s="454" t="s">
        <v>708</v>
      </c>
      <c r="C33" s="497">
        <v>0.01</v>
      </c>
      <c r="D33" s="456">
        <v>190</v>
      </c>
      <c r="E33" s="499">
        <f t="shared" si="7"/>
        <v>1.9</v>
      </c>
      <c r="G33" s="451" t="s">
        <v>762</v>
      </c>
      <c r="H33" s="501">
        <f>C31</f>
        <v>0.95</v>
      </c>
      <c r="I33" s="505">
        <f>H33/H31</f>
        <v>0.95</v>
      </c>
      <c r="J33" s="459">
        <f>E31</f>
        <v>38</v>
      </c>
      <c r="K33" s="451">
        <f>J33/H33</f>
        <v>40</v>
      </c>
      <c r="M33" s="470" t="s">
        <v>712</v>
      </c>
      <c r="N33" s="456">
        <f>N35-N31</f>
        <v>9.4357894736841956</v>
      </c>
      <c r="O33" s="456">
        <f t="shared" ref="O33:T33" si="9">O35-O31</f>
        <v>18.871578947368391</v>
      </c>
      <c r="P33" s="456">
        <f t="shared" si="9"/>
        <v>28.307368421052615</v>
      </c>
      <c r="Q33" s="456">
        <f t="shared" si="9"/>
        <v>37.743157894736783</v>
      </c>
      <c r="R33" s="456">
        <f t="shared" si="9"/>
        <v>47.178947368421063</v>
      </c>
      <c r="S33" s="456">
        <f t="shared" si="9"/>
        <v>56.614736842105231</v>
      </c>
      <c r="T33" s="456">
        <f t="shared" si="9"/>
        <v>66.050526315789512</v>
      </c>
    </row>
    <row r="34" spans="1:20">
      <c r="A34" s="454">
        <v>4</v>
      </c>
      <c r="B34" s="454" t="s">
        <v>758</v>
      </c>
      <c r="C34" s="497">
        <v>0.05</v>
      </c>
      <c r="D34" s="456">
        <v>10</v>
      </c>
      <c r="E34" s="499">
        <f t="shared" si="7"/>
        <v>0.5</v>
      </c>
      <c r="G34" s="451" t="s">
        <v>775</v>
      </c>
      <c r="H34" s="501">
        <f>H31-H33</f>
        <v>5.0000000000000044E-2</v>
      </c>
      <c r="I34" s="505">
        <f>H34/H31</f>
        <v>5.0000000000000044E-2</v>
      </c>
      <c r="J34" s="459">
        <f>SUM(E32:E41)</f>
        <v>4.4000000000000004</v>
      </c>
      <c r="K34" s="451">
        <f>J34/H34</f>
        <v>87.999999999999929</v>
      </c>
      <c r="M34" s="471" t="s">
        <v>437</v>
      </c>
      <c r="N34" s="472">
        <f>N33/N35</f>
        <v>4.9999999999999926E-2</v>
      </c>
      <c r="O34" s="472">
        <f t="shared" ref="O34:T34" si="10">O33/O35</f>
        <v>4.9999999999999926E-2</v>
      </c>
      <c r="P34" s="472">
        <f t="shared" si="10"/>
        <v>4.9999999999999968E-2</v>
      </c>
      <c r="Q34" s="472">
        <f t="shared" si="10"/>
        <v>4.9999999999999933E-2</v>
      </c>
      <c r="R34" s="472">
        <f t="shared" si="10"/>
        <v>5.0000000000000017E-2</v>
      </c>
      <c r="S34" s="472">
        <f t="shared" si="10"/>
        <v>4.9999999999999982E-2</v>
      </c>
      <c r="T34" s="472">
        <f t="shared" si="10"/>
        <v>5.0000000000000037E-2</v>
      </c>
    </row>
    <row r="35" spans="1:20">
      <c r="A35" s="454">
        <v>5</v>
      </c>
      <c r="B35" s="454"/>
      <c r="C35" s="497"/>
      <c r="D35" s="456">
        <v>0</v>
      </c>
      <c r="E35" s="499">
        <f t="shared" si="7"/>
        <v>0</v>
      </c>
      <c r="H35" s="501"/>
      <c r="I35" s="501"/>
      <c r="J35" s="459"/>
      <c r="M35" s="470" t="s">
        <v>1</v>
      </c>
      <c r="N35" s="456">
        <f t="shared" ref="N35:T35" si="11">(N31*100)/95</f>
        <v>188.7157894736842</v>
      </c>
      <c r="O35" s="456">
        <f t="shared" si="11"/>
        <v>377.43157894736839</v>
      </c>
      <c r="P35" s="456">
        <f t="shared" si="11"/>
        <v>566.14736842105265</v>
      </c>
      <c r="Q35" s="456">
        <f t="shared" si="11"/>
        <v>754.86315789473667</v>
      </c>
      <c r="R35" s="456">
        <f t="shared" si="11"/>
        <v>943.57894736842093</v>
      </c>
      <c r="S35" s="456">
        <f t="shared" si="11"/>
        <v>1132.2947368421051</v>
      </c>
      <c r="T35" s="456">
        <f t="shared" si="11"/>
        <v>1321.0105263157893</v>
      </c>
    </row>
    <row r="36" spans="1:20">
      <c r="A36" s="454">
        <v>6</v>
      </c>
      <c r="B36" s="454"/>
      <c r="C36" s="497"/>
      <c r="D36" s="456">
        <v>0</v>
      </c>
      <c r="E36" s="456">
        <f t="shared" ref="E36:E41" si="12">ROUND(C36*D36,2)</f>
        <v>0</v>
      </c>
    </row>
    <row r="37" spans="1:20">
      <c r="A37" s="454">
        <v>7</v>
      </c>
      <c r="B37" s="454"/>
      <c r="C37" s="497"/>
      <c r="D37" s="456">
        <v>0</v>
      </c>
      <c r="E37" s="456">
        <f t="shared" si="12"/>
        <v>0</v>
      </c>
    </row>
    <row r="38" spans="1:20">
      <c r="A38" s="454">
        <v>8</v>
      </c>
      <c r="B38" s="454"/>
      <c r="C38" s="497"/>
      <c r="D38" s="456">
        <v>0</v>
      </c>
      <c r="E38" s="456">
        <f t="shared" si="12"/>
        <v>0</v>
      </c>
      <c r="M38" s="451"/>
    </row>
    <row r="39" spans="1:20">
      <c r="A39" s="454">
        <v>9</v>
      </c>
      <c r="B39" s="454"/>
      <c r="C39" s="497"/>
      <c r="D39" s="456">
        <v>0</v>
      </c>
      <c r="E39" s="456">
        <f t="shared" si="12"/>
        <v>0</v>
      </c>
      <c r="M39" s="451"/>
    </row>
    <row r="40" spans="1:20">
      <c r="A40" s="454">
        <v>10</v>
      </c>
      <c r="B40" s="454"/>
      <c r="C40" s="497"/>
      <c r="D40" s="456">
        <v>0</v>
      </c>
      <c r="E40" s="456">
        <f t="shared" si="12"/>
        <v>0</v>
      </c>
      <c r="M40" s="451"/>
    </row>
    <row r="41" spans="1:20">
      <c r="A41" s="454">
        <v>11</v>
      </c>
      <c r="B41" s="454"/>
      <c r="C41" s="497"/>
      <c r="D41" s="456">
        <v>0</v>
      </c>
      <c r="E41" s="456">
        <f t="shared" si="12"/>
        <v>0</v>
      </c>
      <c r="M41" s="451"/>
    </row>
    <row r="42" spans="1:20">
      <c r="A42" s="455"/>
      <c r="B42" s="455" t="s">
        <v>1</v>
      </c>
      <c r="C42" s="498">
        <f>SUM(C31:C41)</f>
        <v>1.06</v>
      </c>
      <c r="D42" s="457"/>
      <c r="E42" s="496">
        <f>SUM(E31:E41)</f>
        <v>42.4</v>
      </c>
      <c r="M42" s="451"/>
    </row>
    <row r="43" spans="1:20">
      <c r="M43" s="451"/>
    </row>
    <row r="44" spans="1:20">
      <c r="B44" s="509" t="s">
        <v>773</v>
      </c>
      <c r="F44" s="452"/>
      <c r="G44" s="452"/>
      <c r="H44" s="459"/>
      <c r="I44" s="503"/>
      <c r="J44" s="459"/>
      <c r="K44" s="459"/>
      <c r="M44" s="469" t="s">
        <v>790</v>
      </c>
    </row>
    <row r="45" spans="1:20">
      <c r="A45" s="455" t="s">
        <v>144</v>
      </c>
      <c r="B45" s="455" t="s">
        <v>149</v>
      </c>
      <c r="C45" s="455" t="s">
        <v>709</v>
      </c>
      <c r="D45" s="455" t="s">
        <v>710</v>
      </c>
      <c r="E45" s="455" t="s">
        <v>713</v>
      </c>
      <c r="F45" s="452"/>
      <c r="H45" s="508" t="s">
        <v>765</v>
      </c>
      <c r="M45" s="474" t="s">
        <v>0</v>
      </c>
      <c r="N45" s="475" t="s">
        <v>2</v>
      </c>
      <c r="O45" s="475" t="s">
        <v>3</v>
      </c>
      <c r="P45" s="475" t="s">
        <v>4</v>
      </c>
      <c r="Q45" s="475" t="s">
        <v>5</v>
      </c>
      <c r="R45" s="475" t="s">
        <v>6</v>
      </c>
      <c r="S45" s="475" t="s">
        <v>166</v>
      </c>
      <c r="T45" s="475" t="s">
        <v>165</v>
      </c>
    </row>
    <row r="46" spans="1:20">
      <c r="A46" s="454">
        <v>1</v>
      </c>
      <c r="B46" s="454" t="s">
        <v>766</v>
      </c>
      <c r="C46" s="497">
        <v>0.65</v>
      </c>
      <c r="D46" s="456">
        <v>72</v>
      </c>
      <c r="E46" s="499">
        <f>ROUND(C46*D46,2)</f>
        <v>46.8</v>
      </c>
      <c r="F46" s="452"/>
      <c r="G46" s="506" t="s">
        <v>778</v>
      </c>
      <c r="H46" s="507">
        <v>1</v>
      </c>
      <c r="I46" s="508" t="s">
        <v>779</v>
      </c>
      <c r="M46" s="470" t="s">
        <v>766</v>
      </c>
      <c r="N46" s="456">
        <f>'13.Facility 2 Grain Processing'!B77</f>
        <v>89.64</v>
      </c>
      <c r="O46" s="456">
        <f>'13.Facility 2 Grain Processing'!C77</f>
        <v>179.28</v>
      </c>
      <c r="P46" s="456">
        <f>'13.Facility 2 Grain Processing'!D77</f>
        <v>268.92</v>
      </c>
      <c r="Q46" s="456">
        <f>'13.Facility 2 Grain Processing'!E77</f>
        <v>358.55999999999995</v>
      </c>
      <c r="R46" s="456">
        <f>'13.Facility 2 Grain Processing'!F77</f>
        <v>448.19999999999993</v>
      </c>
      <c r="S46" s="456">
        <f>'13.Facility 2 Grain Processing'!G77</f>
        <v>537.83999999999992</v>
      </c>
      <c r="T46" s="456">
        <f>'13.Facility 2 Grain Processing'!H77</f>
        <v>627.4799999999999</v>
      </c>
    </row>
    <row r="47" spans="1:20">
      <c r="A47" s="454">
        <v>2</v>
      </c>
      <c r="B47" s="454" t="s">
        <v>767</v>
      </c>
      <c r="C47" s="497">
        <v>0.01</v>
      </c>
      <c r="D47" s="456">
        <v>35</v>
      </c>
      <c r="E47" s="499">
        <f t="shared" ref="E47:E55" si="13">ROUND(C47*D47,2)</f>
        <v>0.35</v>
      </c>
      <c r="F47" s="452"/>
      <c r="I47" s="504" t="s">
        <v>437</v>
      </c>
      <c r="J47" s="451" t="s">
        <v>776</v>
      </c>
      <c r="K47" s="451" t="s">
        <v>777</v>
      </c>
      <c r="M47" s="471" t="s">
        <v>437</v>
      </c>
      <c r="N47" s="472">
        <f>N46/N50</f>
        <v>0.65</v>
      </c>
      <c r="O47" s="472">
        <f t="shared" ref="O47:T47" si="14">O46/O50</f>
        <v>0.65</v>
      </c>
      <c r="P47" s="472">
        <f t="shared" si="14"/>
        <v>0.65</v>
      </c>
      <c r="Q47" s="472">
        <f t="shared" si="14"/>
        <v>0.65</v>
      </c>
      <c r="R47" s="472">
        <f t="shared" si="14"/>
        <v>0.65</v>
      </c>
      <c r="S47" s="472">
        <f t="shared" si="14"/>
        <v>0.65</v>
      </c>
      <c r="T47" s="472">
        <f t="shared" si="14"/>
        <v>0.65</v>
      </c>
    </row>
    <row r="48" spans="1:20">
      <c r="A48" s="454">
        <v>3</v>
      </c>
      <c r="B48" s="454" t="s">
        <v>768</v>
      </c>
      <c r="C48" s="497">
        <v>0.01</v>
      </c>
      <c r="D48" s="456">
        <v>60</v>
      </c>
      <c r="E48" s="499">
        <f t="shared" si="13"/>
        <v>0.6</v>
      </c>
      <c r="F48" s="452"/>
      <c r="G48" s="451" t="s">
        <v>766</v>
      </c>
      <c r="H48" s="501">
        <f>C46</f>
        <v>0.65</v>
      </c>
      <c r="I48" s="505">
        <f>H48/H46</f>
        <v>0.65</v>
      </c>
      <c r="J48" s="459">
        <f>E46</f>
        <v>46.8</v>
      </c>
      <c r="K48" s="458">
        <f>J48/H48</f>
        <v>72</v>
      </c>
      <c r="M48" s="470" t="s">
        <v>712</v>
      </c>
      <c r="N48" s="456">
        <f>N50-N46</f>
        <v>48.267692307692315</v>
      </c>
      <c r="O48" s="456">
        <f t="shared" ref="O48:T48" si="15">O50-O46</f>
        <v>96.535384615384629</v>
      </c>
      <c r="P48" s="456">
        <f t="shared" si="15"/>
        <v>144.8030769230769</v>
      </c>
      <c r="Q48" s="456">
        <f t="shared" si="15"/>
        <v>193.0707692307692</v>
      </c>
      <c r="R48" s="456">
        <f t="shared" si="15"/>
        <v>241.3384615384615</v>
      </c>
      <c r="S48" s="456">
        <f t="shared" si="15"/>
        <v>289.6061538461538</v>
      </c>
      <c r="T48" s="456">
        <f t="shared" si="15"/>
        <v>337.8738461538461</v>
      </c>
    </row>
    <row r="49" spans="1:20">
      <c r="A49" s="454">
        <v>4</v>
      </c>
      <c r="B49" s="454" t="s">
        <v>769</v>
      </c>
      <c r="C49" s="497">
        <v>0.05</v>
      </c>
      <c r="D49" s="456">
        <v>120</v>
      </c>
      <c r="E49" s="499">
        <f t="shared" si="13"/>
        <v>6</v>
      </c>
      <c r="F49" s="452"/>
      <c r="G49" s="451" t="s">
        <v>775</v>
      </c>
      <c r="H49" s="501">
        <f>H46-H48</f>
        <v>0.35</v>
      </c>
      <c r="I49" s="505">
        <f>H49/H46</f>
        <v>0.35</v>
      </c>
      <c r="J49" s="459">
        <f>SUM(E47:E57)</f>
        <v>91.050000000000011</v>
      </c>
      <c r="K49" s="458">
        <f>J49/H49</f>
        <v>260.14285714285717</v>
      </c>
      <c r="M49" s="471" t="s">
        <v>437</v>
      </c>
      <c r="N49" s="472">
        <f>N48/N50</f>
        <v>0.35000000000000003</v>
      </c>
      <c r="O49" s="472">
        <f t="shared" ref="O49:T49" si="16">O48/O50</f>
        <v>0.35000000000000003</v>
      </c>
      <c r="P49" s="472">
        <f t="shared" si="16"/>
        <v>0.35</v>
      </c>
      <c r="Q49" s="472">
        <f t="shared" si="16"/>
        <v>0.35</v>
      </c>
      <c r="R49" s="472">
        <f t="shared" si="16"/>
        <v>0.35</v>
      </c>
      <c r="S49" s="472">
        <f t="shared" si="16"/>
        <v>0.35</v>
      </c>
      <c r="T49" s="472">
        <f t="shared" si="16"/>
        <v>0.35</v>
      </c>
    </row>
    <row r="50" spans="1:20">
      <c r="A50" s="454">
        <v>5</v>
      </c>
      <c r="B50" s="454" t="s">
        <v>770</v>
      </c>
      <c r="C50" s="497">
        <v>0.05</v>
      </c>
      <c r="D50" s="456">
        <v>100</v>
      </c>
      <c r="E50" s="499">
        <f t="shared" si="13"/>
        <v>5</v>
      </c>
      <c r="F50" s="452"/>
      <c r="G50" s="452"/>
      <c r="M50" s="470" t="s">
        <v>1</v>
      </c>
      <c r="N50" s="456">
        <f t="shared" ref="N50:T50" si="17">(N46*100)/65</f>
        <v>137.90769230769232</v>
      </c>
      <c r="O50" s="456">
        <f t="shared" si="17"/>
        <v>275.81538461538463</v>
      </c>
      <c r="P50" s="456">
        <f t="shared" si="17"/>
        <v>413.72307692307692</v>
      </c>
      <c r="Q50" s="456">
        <f t="shared" si="17"/>
        <v>551.63076923076915</v>
      </c>
      <c r="R50" s="456">
        <f t="shared" si="17"/>
        <v>689.53846153846143</v>
      </c>
      <c r="S50" s="456">
        <f t="shared" si="17"/>
        <v>827.44615384615372</v>
      </c>
      <c r="T50" s="456">
        <f t="shared" si="17"/>
        <v>965.35384615384601</v>
      </c>
    </row>
    <row r="51" spans="1:20">
      <c r="A51" s="454">
        <v>6</v>
      </c>
      <c r="B51" s="454" t="s">
        <v>771</v>
      </c>
      <c r="C51" s="497">
        <v>0.05</v>
      </c>
      <c r="D51" s="456">
        <v>400</v>
      </c>
      <c r="E51" s="499">
        <f t="shared" si="13"/>
        <v>20</v>
      </c>
      <c r="F51" s="458"/>
      <c r="G51" s="458"/>
      <c r="M51" s="451"/>
    </row>
    <row r="52" spans="1:20">
      <c r="A52" s="454">
        <v>7</v>
      </c>
      <c r="B52" s="454" t="s">
        <v>772</v>
      </c>
      <c r="C52" s="497">
        <v>0.05</v>
      </c>
      <c r="D52" s="456">
        <v>35</v>
      </c>
      <c r="E52" s="499">
        <f t="shared" si="13"/>
        <v>1.75</v>
      </c>
      <c r="M52" s="451"/>
    </row>
    <row r="53" spans="1:20">
      <c r="A53" s="454">
        <v>8</v>
      </c>
      <c r="B53" s="454" t="s">
        <v>708</v>
      </c>
      <c r="C53" s="497">
        <v>0.01</v>
      </c>
      <c r="D53" s="456">
        <v>10</v>
      </c>
      <c r="E53" s="499">
        <f t="shared" si="13"/>
        <v>0.1</v>
      </c>
      <c r="M53" s="451"/>
    </row>
    <row r="54" spans="1:20">
      <c r="A54" s="454">
        <v>9</v>
      </c>
      <c r="B54" s="454" t="s">
        <v>758</v>
      </c>
      <c r="C54" s="497">
        <v>0.05</v>
      </c>
      <c r="D54" s="456">
        <v>5</v>
      </c>
      <c r="E54" s="499">
        <f t="shared" si="13"/>
        <v>0.25</v>
      </c>
      <c r="M54" s="451"/>
    </row>
    <row r="55" spans="1:20">
      <c r="A55" s="454">
        <v>10</v>
      </c>
      <c r="B55" s="454" t="s">
        <v>759</v>
      </c>
      <c r="C55" s="497">
        <v>0.3</v>
      </c>
      <c r="D55" s="456">
        <v>190</v>
      </c>
      <c r="E55" s="499">
        <f t="shared" si="13"/>
        <v>57</v>
      </c>
      <c r="M55" s="451"/>
    </row>
    <row r="56" spans="1:20">
      <c r="A56" s="454">
        <v>11</v>
      </c>
      <c r="B56" s="454"/>
      <c r="C56" s="497"/>
      <c r="D56" s="456"/>
      <c r="E56" s="499"/>
      <c r="M56" s="451"/>
    </row>
    <row r="57" spans="1:20">
      <c r="A57" s="454">
        <v>12</v>
      </c>
      <c r="B57" s="454"/>
      <c r="C57" s="497"/>
      <c r="D57" s="456"/>
      <c r="E57" s="499"/>
      <c r="M57" s="451"/>
    </row>
    <row r="58" spans="1:20">
      <c r="A58" s="455"/>
      <c r="B58" s="455" t="s">
        <v>1</v>
      </c>
      <c r="C58" s="498">
        <f>SUM(C46:C57)</f>
        <v>1.2300000000000002</v>
      </c>
      <c r="D58" s="457"/>
      <c r="E58" s="500">
        <f>SUM(E46:E57)</f>
        <v>137.85</v>
      </c>
      <c r="M58" s="451"/>
    </row>
    <row r="59" spans="1:20">
      <c r="M59" s="451"/>
    </row>
    <row r="60" spans="1:20">
      <c r="M60" s="451"/>
    </row>
    <row r="61" spans="1:20">
      <c r="O61" s="459"/>
    </row>
    <row r="63" spans="1:20">
      <c r="S63" s="453"/>
    </row>
    <row r="64" spans="1:20">
      <c r="S64" s="453"/>
    </row>
    <row r="65" spans="14:19">
      <c r="S65" s="453"/>
    </row>
    <row r="70" spans="14:19">
      <c r="N70" s="452"/>
    </row>
    <row r="74" spans="14:19">
      <c r="N74" s="459"/>
    </row>
  </sheetData>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H33"/>
  <sheetViews>
    <sheetView tabSelected="1" view="pageBreakPreview" zoomScaleNormal="100" zoomScaleSheetLayoutView="100" workbookViewId="0">
      <selection activeCell="D5" sqref="D5"/>
    </sheetView>
  </sheetViews>
  <sheetFormatPr defaultRowHeight="12.75"/>
  <cols>
    <col min="1" max="1" width="2.5703125" style="302" customWidth="1"/>
    <col min="2" max="2" width="7.7109375" style="302" bestFit="1" customWidth="1"/>
    <col min="3" max="3" width="26.28515625" style="302" bestFit="1" customWidth="1"/>
    <col min="4" max="4" width="15" style="302" customWidth="1"/>
    <col min="5" max="5" width="16" style="302" customWidth="1"/>
    <col min="6" max="6" width="19" style="302" customWidth="1"/>
    <col min="7" max="16384" width="9.140625" style="302"/>
  </cols>
  <sheetData>
    <row r="2" spans="1:6">
      <c r="B2" s="553" t="s">
        <v>531</v>
      </c>
      <c r="C2" s="553"/>
      <c r="D2" s="553"/>
      <c r="E2" s="553"/>
      <c r="F2" s="553"/>
    </row>
    <row r="4" spans="1:6">
      <c r="B4" s="447" t="s">
        <v>144</v>
      </c>
      <c r="C4" s="447" t="s">
        <v>128</v>
      </c>
      <c r="D4" s="447" t="s">
        <v>156</v>
      </c>
      <c r="E4" s="306" t="s">
        <v>445</v>
      </c>
      <c r="F4" s="306" t="s">
        <v>446</v>
      </c>
    </row>
    <row r="5" spans="1:6">
      <c r="B5" s="307">
        <v>1</v>
      </c>
      <c r="C5" s="308" t="str">
        <f>'2.Capex Details'!B2</f>
        <v>Land and Building</v>
      </c>
      <c r="D5" s="309">
        <f>'2.Capex Details'!G12</f>
        <v>7607713</v>
      </c>
      <c r="E5" s="310">
        <v>0.6</v>
      </c>
      <c r="F5" s="532">
        <f>D5*E5</f>
        <v>4564627.8</v>
      </c>
    </row>
    <row r="6" spans="1:6">
      <c r="B6" s="307">
        <v>2</v>
      </c>
      <c r="C6" s="308" t="str">
        <f>'2.Capex Details'!B17</f>
        <v>Machinery and Equipment</v>
      </c>
      <c r="D6" s="309">
        <f>'2.Capex Details'!G77</f>
        <v>6394396</v>
      </c>
      <c r="E6" s="310">
        <v>0.6</v>
      </c>
      <c r="F6" s="532">
        <f>D6*E6</f>
        <v>3836637.5999999996</v>
      </c>
    </row>
    <row r="7" spans="1:6">
      <c r="B7" s="307">
        <v>3</v>
      </c>
      <c r="C7" s="308" t="str">
        <f>'2.Capex Details'!B83</f>
        <v>Furniture and Fixture</v>
      </c>
      <c r="D7" s="309">
        <f>'2.Capex Details'!F92</f>
        <v>0</v>
      </c>
      <c r="E7" s="310">
        <v>0.6</v>
      </c>
      <c r="F7" s="311">
        <f t="shared" ref="F7:F8" si="0">D7*E7</f>
        <v>0</v>
      </c>
    </row>
    <row r="8" spans="1:6">
      <c r="B8" s="307">
        <v>4</v>
      </c>
      <c r="C8" s="308" t="str">
        <f>'2.Capex Details'!B97</f>
        <v>IT &amp; It Infrastracture</v>
      </c>
      <c r="D8" s="309">
        <f>'2.Capex Details'!F106</f>
        <v>0</v>
      </c>
      <c r="E8" s="310">
        <v>0.6</v>
      </c>
      <c r="F8" s="311">
        <f t="shared" si="0"/>
        <v>0</v>
      </c>
    </row>
    <row r="9" spans="1:6">
      <c r="B9" s="307">
        <v>5</v>
      </c>
      <c r="C9" s="308" t="str">
        <f>'2.Capex Details'!B111</f>
        <v>Farm Equipments</v>
      </c>
      <c r="D9" s="309">
        <f>'2.Capex Details'!F119</f>
        <v>1412000</v>
      </c>
      <c r="E9" s="310">
        <v>0.6</v>
      </c>
      <c r="F9" s="311">
        <f>D9*E9</f>
        <v>847200</v>
      </c>
    </row>
    <row r="10" spans="1:6">
      <c r="B10" s="307">
        <v>6</v>
      </c>
      <c r="C10" s="308" t="str">
        <f>'2.Capex Details'!B123</f>
        <v>Preliminary Expenses</v>
      </c>
      <c r="D10" s="309">
        <f>'2.Capex Details'!D135</f>
        <v>312430</v>
      </c>
      <c r="E10" s="310">
        <v>0.6</v>
      </c>
      <c r="F10" s="311">
        <f>D10*E10</f>
        <v>187458</v>
      </c>
    </row>
    <row r="11" spans="1:6">
      <c r="B11" s="307">
        <v>7</v>
      </c>
      <c r="C11" s="308" t="s">
        <v>155</v>
      </c>
      <c r="D11" s="309">
        <f>'5.Closing Stock &amp; W Capital'!E57</f>
        <v>4214243.4510065131</v>
      </c>
      <c r="E11" s="312"/>
      <c r="F11" s="312"/>
    </row>
    <row r="12" spans="1:6">
      <c r="B12" s="551" t="s">
        <v>1</v>
      </c>
      <c r="C12" s="551"/>
      <c r="D12" s="313">
        <f>SUM(D5:D11)</f>
        <v>19940782.451006513</v>
      </c>
      <c r="E12" s="312"/>
      <c r="F12" s="313">
        <f>SUM(F5:F11)</f>
        <v>9435923.3999999985</v>
      </c>
    </row>
    <row r="13" spans="1:6">
      <c r="D13" s="324"/>
    </row>
    <row r="14" spans="1:6" ht="25.5" customHeight="1">
      <c r="A14" s="554" t="s">
        <v>394</v>
      </c>
      <c r="B14" s="554"/>
      <c r="C14" s="554"/>
      <c r="D14" s="554"/>
      <c r="E14" s="554"/>
      <c r="F14" s="554"/>
    </row>
    <row r="15" spans="1:6">
      <c r="D15" s="446"/>
    </row>
    <row r="16" spans="1:6">
      <c r="B16" s="553" t="s">
        <v>532</v>
      </c>
      <c r="C16" s="553"/>
      <c r="D16" s="553"/>
      <c r="E16" s="553"/>
      <c r="F16" s="553"/>
    </row>
    <row r="18" spans="2:8">
      <c r="B18" s="304" t="s">
        <v>144</v>
      </c>
      <c r="C18" s="303" t="s">
        <v>128</v>
      </c>
      <c r="D18" s="303" t="s">
        <v>618</v>
      </c>
      <c r="E18" s="303" t="s">
        <v>156</v>
      </c>
    </row>
    <row r="19" spans="2:8" ht="25.5">
      <c r="B19" s="307">
        <v>1</v>
      </c>
      <c r="C19" s="308" t="s">
        <v>320</v>
      </c>
      <c r="D19" s="314"/>
      <c r="E19" s="315">
        <f>F12</f>
        <v>9435923.3999999985</v>
      </c>
    </row>
    <row r="20" spans="2:8" ht="41.25" customHeight="1">
      <c r="B20" s="307">
        <v>2</v>
      </c>
      <c r="C20" s="308" t="s">
        <v>682</v>
      </c>
      <c r="D20" s="316"/>
      <c r="E20" s="315">
        <f>D12-E19-E21</f>
        <v>5504288.6500000013</v>
      </c>
    </row>
    <row r="21" spans="2:8" ht="28.5" customHeight="1">
      <c r="B21" s="307">
        <v>3</v>
      </c>
      <c r="C21" s="308" t="s">
        <v>691</v>
      </c>
      <c r="D21" s="317">
        <v>0.05</v>
      </c>
      <c r="E21" s="315">
        <f>(SUM(D5:D10)*D21)+D11</f>
        <v>5000570.4010065133</v>
      </c>
      <c r="F21" s="324"/>
    </row>
    <row r="22" spans="2:8">
      <c r="B22" s="552" t="s">
        <v>1</v>
      </c>
      <c r="C22" s="552"/>
      <c r="D22" s="305"/>
      <c r="E22" s="305">
        <f>SUM(E19:E21)</f>
        <v>19940782.451006513</v>
      </c>
    </row>
    <row r="24" spans="2:8">
      <c r="B24" s="553" t="s">
        <v>395</v>
      </c>
      <c r="C24" s="553"/>
      <c r="D24" s="553"/>
      <c r="E24" s="553"/>
      <c r="F24" s="553"/>
    </row>
    <row r="26" spans="2:8">
      <c r="B26" s="550" t="s">
        <v>533</v>
      </c>
      <c r="C26" s="550"/>
      <c r="D26" s="550"/>
      <c r="E26" s="550"/>
      <c r="F26" s="550"/>
    </row>
    <row r="27" spans="2:8" ht="30" customHeight="1">
      <c r="B27" s="318" t="s">
        <v>144</v>
      </c>
      <c r="C27" s="319" t="s">
        <v>579</v>
      </c>
      <c r="D27" s="319" t="s">
        <v>580</v>
      </c>
      <c r="E27" s="318" t="s">
        <v>581</v>
      </c>
      <c r="F27" s="318" t="s">
        <v>582</v>
      </c>
    </row>
    <row r="28" spans="2:8" ht="25.5">
      <c r="B28" s="320">
        <v>1</v>
      </c>
      <c r="C28" s="308" t="s">
        <v>362</v>
      </c>
      <c r="D28" s="440">
        <f>'9.1 Financial indiacators'!C49</f>
        <v>0.58640837910232191</v>
      </c>
      <c r="E28" s="320" t="s">
        <v>363</v>
      </c>
      <c r="F28" s="321" t="s">
        <v>685</v>
      </c>
      <c r="H28" s="302" t="s">
        <v>727</v>
      </c>
    </row>
    <row r="29" spans="2:8" ht="38.25">
      <c r="B29" s="320">
        <v>2</v>
      </c>
      <c r="C29" s="308" t="s">
        <v>364</v>
      </c>
      <c r="D29" s="441">
        <f>'9.1 Financial indiacators'!C85</f>
        <v>0.21155619900016995</v>
      </c>
      <c r="E29" s="320" t="s">
        <v>363</v>
      </c>
      <c r="F29" s="321" t="s">
        <v>661</v>
      </c>
    </row>
    <row r="30" spans="2:8" ht="38.25">
      <c r="B30" s="320">
        <v>3</v>
      </c>
      <c r="C30" s="308" t="s">
        <v>365</v>
      </c>
      <c r="D30" s="440">
        <f>'9.1 Financial indiacators'!C16</f>
        <v>0.1337237462595311</v>
      </c>
      <c r="E30" s="320" t="s">
        <v>363</v>
      </c>
      <c r="F30" s="321" t="s">
        <v>584</v>
      </c>
      <c r="H30" s="302" t="s">
        <v>728</v>
      </c>
    </row>
    <row r="31" spans="2:8" ht="63.75">
      <c r="B31" s="320">
        <v>4</v>
      </c>
      <c r="C31" s="308" t="s">
        <v>366</v>
      </c>
      <c r="D31" s="322">
        <f>'9.1 Financial indiacators'!C73</f>
        <v>2203599.0995078161</v>
      </c>
      <c r="E31" s="320" t="s">
        <v>662</v>
      </c>
      <c r="F31" s="321" t="s">
        <v>583</v>
      </c>
    </row>
    <row r="32" spans="2:8" ht="38.25">
      <c r="B32" s="320">
        <v>5</v>
      </c>
      <c r="C32" s="308" t="s">
        <v>367</v>
      </c>
      <c r="D32" s="323">
        <f>'9.1 Financial indiacators'!D101</f>
        <v>4.9405009601378138</v>
      </c>
      <c r="E32" s="320" t="s">
        <v>363</v>
      </c>
      <c r="F32" s="321" t="s">
        <v>686</v>
      </c>
    </row>
    <row r="33" spans="2:8" ht="38.25">
      <c r="B33" s="320">
        <v>6</v>
      </c>
      <c r="C33" s="308" t="s">
        <v>368</v>
      </c>
      <c r="D33" s="323">
        <f>'9.1 Financial indiacators'!C116</f>
        <v>2.380770109106328</v>
      </c>
      <c r="E33" s="320" t="s">
        <v>363</v>
      </c>
      <c r="F33" s="321" t="s">
        <v>585</v>
      </c>
      <c r="H33" s="302" t="s">
        <v>729</v>
      </c>
    </row>
  </sheetData>
  <mergeCells count="7">
    <mergeCell ref="B26:F26"/>
    <mergeCell ref="B12:C12"/>
    <mergeCell ref="B22:C22"/>
    <mergeCell ref="B2:F2"/>
    <mergeCell ref="B16:F16"/>
    <mergeCell ref="B24:F24"/>
    <mergeCell ref="A14:F14"/>
  </mergeCells>
  <conditionalFormatting sqref="D23">
    <cfRule type="cellIs" dxfId="4" priority="3" operator="greaterThan">
      <formula>0</formula>
    </cfRule>
  </conditionalFormatting>
  <pageMargins left="0.7" right="0.7" top="0.75" bottom="0.75" header="0.3" footer="0.3"/>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M137"/>
  <sheetViews>
    <sheetView view="pageBreakPreview" topLeftCell="A103" zoomScale="80" zoomScaleSheetLayoutView="80" workbookViewId="0">
      <selection activeCell="C131" sqref="C131"/>
    </sheetView>
  </sheetViews>
  <sheetFormatPr defaultRowHeight="14.25"/>
  <cols>
    <col min="1" max="1" width="5" style="263" bestFit="1" customWidth="1"/>
    <col min="2" max="2" width="7.5703125" style="263" bestFit="1" customWidth="1"/>
    <col min="3" max="3" width="49.5703125" style="263" customWidth="1"/>
    <col min="4" max="4" width="10.28515625" style="263" bestFit="1" customWidth="1"/>
    <col min="5" max="5" width="17" style="263" customWidth="1"/>
    <col min="6" max="6" width="14.85546875" style="263" bestFit="1" customWidth="1"/>
    <col min="7" max="7" width="15.28515625" style="263" bestFit="1" customWidth="1"/>
    <col min="8" max="8" width="11.7109375" style="263" bestFit="1" customWidth="1"/>
    <col min="9" max="10" width="9.140625" style="263"/>
    <col min="11" max="11" width="10.140625" style="263" bestFit="1" customWidth="1"/>
    <col min="12" max="12" width="10" style="263" bestFit="1" customWidth="1"/>
    <col min="13" max="13" width="10.85546875" style="263" bestFit="1" customWidth="1"/>
    <col min="14" max="16384" width="9.140625" style="263"/>
  </cols>
  <sheetData>
    <row r="2" spans="1:7">
      <c r="A2" s="263">
        <v>2.1</v>
      </c>
      <c r="B2" s="556" t="s">
        <v>153</v>
      </c>
      <c r="C2" s="556"/>
      <c r="D2" s="556"/>
      <c r="E2" s="556"/>
      <c r="F2" s="556"/>
      <c r="G2" s="556"/>
    </row>
    <row r="4" spans="1:7">
      <c r="B4" s="264" t="s">
        <v>144</v>
      </c>
      <c r="C4" s="264" t="s">
        <v>128</v>
      </c>
      <c r="D4" s="264" t="s">
        <v>133</v>
      </c>
      <c r="E4" s="264" t="s">
        <v>145</v>
      </c>
      <c r="F4" s="264" t="s">
        <v>146</v>
      </c>
      <c r="G4" s="264" t="s">
        <v>156</v>
      </c>
    </row>
    <row r="5" spans="1:7">
      <c r="B5" s="481">
        <v>1</v>
      </c>
      <c r="C5" s="482" t="s">
        <v>147</v>
      </c>
      <c r="D5" s="483" t="s">
        <v>148</v>
      </c>
      <c r="E5" s="484"/>
      <c r="F5" s="485"/>
      <c r="G5" s="486" t="s">
        <v>732</v>
      </c>
    </row>
    <row r="6" spans="1:7">
      <c r="B6" s="481">
        <v>2</v>
      </c>
      <c r="C6" s="482" t="s">
        <v>731</v>
      </c>
      <c r="D6" s="483" t="s">
        <v>693</v>
      </c>
      <c r="E6" s="484">
        <v>1</v>
      </c>
      <c r="F6" s="485">
        <v>7607713</v>
      </c>
      <c r="G6" s="486">
        <f>E6*F6</f>
        <v>7607713</v>
      </c>
    </row>
    <row r="7" spans="1:7">
      <c r="B7" s="288"/>
      <c r="C7" s="289"/>
      <c r="D7" s="292"/>
      <c r="E7" s="290">
        <v>0</v>
      </c>
      <c r="F7" s="293"/>
      <c r="G7" s="291">
        <f t="shared" ref="G7:G11" si="0">E7*F7</f>
        <v>0</v>
      </c>
    </row>
    <row r="8" spans="1:7">
      <c r="B8" s="289"/>
      <c r="C8" s="289"/>
      <c r="D8" s="292"/>
      <c r="E8" s="290"/>
      <c r="F8" s="293"/>
      <c r="G8" s="291">
        <f t="shared" si="0"/>
        <v>0</v>
      </c>
    </row>
    <row r="9" spans="1:7">
      <c r="B9" s="265"/>
      <c r="C9" s="265"/>
      <c r="D9" s="266"/>
      <c r="E9" s="267"/>
      <c r="F9" s="268"/>
      <c r="G9" s="269">
        <f t="shared" si="0"/>
        <v>0</v>
      </c>
    </row>
    <row r="10" spans="1:7">
      <c r="B10" s="265"/>
      <c r="C10" s="265"/>
      <c r="D10" s="266"/>
      <c r="E10" s="267"/>
      <c r="F10" s="268"/>
      <c r="G10" s="269">
        <f t="shared" si="0"/>
        <v>0</v>
      </c>
    </row>
    <row r="11" spans="1:7">
      <c r="B11" s="265"/>
      <c r="C11" s="265"/>
      <c r="D11" s="266"/>
      <c r="E11" s="267"/>
      <c r="F11" s="268"/>
      <c r="G11" s="269">
        <f t="shared" si="0"/>
        <v>0</v>
      </c>
    </row>
    <row r="12" spans="1:7">
      <c r="B12" s="555" t="s">
        <v>1</v>
      </c>
      <c r="C12" s="555"/>
      <c r="D12" s="555"/>
      <c r="E12" s="555"/>
      <c r="F12" s="555"/>
      <c r="G12" s="270">
        <f>SUM(G6:G11)</f>
        <v>7607713</v>
      </c>
    </row>
    <row r="15" spans="1:7">
      <c r="B15" s="556" t="s">
        <v>390</v>
      </c>
      <c r="C15" s="556"/>
      <c r="D15" s="556"/>
      <c r="E15" s="556"/>
      <c r="F15" s="556"/>
      <c r="G15" s="556"/>
    </row>
    <row r="17" spans="1:8">
      <c r="A17" s="263">
        <v>2.2000000000000002</v>
      </c>
      <c r="B17" s="556" t="s">
        <v>154</v>
      </c>
      <c r="C17" s="556"/>
      <c r="D17" s="556"/>
      <c r="E17" s="556"/>
      <c r="F17" s="556"/>
      <c r="G17" s="556"/>
      <c r="H17" s="556"/>
    </row>
    <row r="18" spans="1:8">
      <c r="B18" s="429"/>
    </row>
    <row r="19" spans="1:8">
      <c r="B19" s="264" t="s">
        <v>144</v>
      </c>
      <c r="C19" s="264" t="s">
        <v>149</v>
      </c>
      <c r="D19" s="264" t="s">
        <v>159</v>
      </c>
      <c r="E19" s="264" t="s">
        <v>150</v>
      </c>
      <c r="F19" s="264" t="s">
        <v>151</v>
      </c>
      <c r="G19" s="264" t="s">
        <v>156</v>
      </c>
      <c r="H19" s="264" t="s">
        <v>152</v>
      </c>
    </row>
    <row r="20" spans="1:8">
      <c r="B20" s="272"/>
      <c r="C20" s="273"/>
      <c r="D20" s="273"/>
      <c r="E20" s="273"/>
      <c r="F20" s="273"/>
      <c r="G20" s="274"/>
      <c r="H20" s="273"/>
    </row>
    <row r="21" spans="1:8">
      <c r="B21" s="427" t="s">
        <v>170</v>
      </c>
      <c r="C21" s="275" t="s">
        <v>348</v>
      </c>
      <c r="D21" s="275"/>
      <c r="E21" s="427"/>
      <c r="F21" s="276"/>
      <c r="G21" s="274">
        <f t="shared" ref="G21:G27" si="1">E21*F21</f>
        <v>0</v>
      </c>
      <c r="H21" s="277"/>
    </row>
    <row r="22" spans="1:8">
      <c r="B22" s="427"/>
      <c r="C22" s="275"/>
      <c r="D22" s="275"/>
      <c r="E22" s="427"/>
      <c r="F22" s="276"/>
      <c r="G22" s="274">
        <f t="shared" si="1"/>
        <v>0</v>
      </c>
      <c r="H22" s="277"/>
    </row>
    <row r="23" spans="1:8">
      <c r="B23" s="427"/>
      <c r="C23" s="275"/>
      <c r="D23" s="275"/>
      <c r="E23" s="427"/>
      <c r="F23" s="276"/>
      <c r="G23" s="274">
        <f t="shared" si="1"/>
        <v>0</v>
      </c>
      <c r="H23" s="277"/>
    </row>
    <row r="24" spans="1:8">
      <c r="B24" s="427"/>
      <c r="C24" s="275"/>
      <c r="D24" s="275"/>
      <c r="E24" s="427"/>
      <c r="F24" s="276"/>
      <c r="G24" s="274">
        <f t="shared" si="1"/>
        <v>0</v>
      </c>
      <c r="H24" s="277"/>
    </row>
    <row r="25" spans="1:8">
      <c r="B25" s="427"/>
      <c r="C25" s="275"/>
      <c r="D25" s="427"/>
      <c r="E25" s="427"/>
      <c r="F25" s="276"/>
      <c r="G25" s="274">
        <f t="shared" si="1"/>
        <v>0</v>
      </c>
      <c r="H25" s="277"/>
    </row>
    <row r="26" spans="1:8">
      <c r="B26" s="427"/>
      <c r="C26" s="275"/>
      <c r="D26" s="427"/>
      <c r="E26" s="427"/>
      <c r="F26" s="276"/>
      <c r="G26" s="274">
        <f t="shared" si="1"/>
        <v>0</v>
      </c>
      <c r="H26" s="277"/>
    </row>
    <row r="27" spans="1:8">
      <c r="B27" s="427"/>
      <c r="C27" s="275"/>
      <c r="D27" s="427"/>
      <c r="E27" s="427"/>
      <c r="F27" s="276"/>
      <c r="G27" s="274">
        <f t="shared" si="1"/>
        <v>0</v>
      </c>
      <c r="H27" s="277"/>
    </row>
    <row r="28" spans="1:8">
      <c r="B28" s="558" t="s">
        <v>168</v>
      </c>
      <c r="C28" s="558"/>
      <c r="D28" s="427"/>
      <c r="E28" s="427"/>
      <c r="F28" s="278"/>
      <c r="G28" s="274">
        <f>SUM(G21:G27)</f>
        <v>0</v>
      </c>
      <c r="H28" s="274">
        <f>SUM(H21:H27)</f>
        <v>0</v>
      </c>
    </row>
    <row r="29" spans="1:8">
      <c r="B29" s="428" t="s">
        <v>171</v>
      </c>
      <c r="C29" s="464" t="s">
        <v>747</v>
      </c>
      <c r="D29" s="295"/>
      <c r="E29" s="296"/>
      <c r="F29" s="297"/>
      <c r="G29" s="297"/>
      <c r="H29" s="298"/>
    </row>
    <row r="30" spans="1:8">
      <c r="B30" s="296"/>
      <c r="C30" s="295"/>
      <c r="D30" s="295"/>
      <c r="E30" s="462"/>
      <c r="F30" s="463"/>
      <c r="G30" s="463"/>
      <c r="H30" s="491"/>
    </row>
    <row r="31" spans="1:8">
      <c r="B31" s="296">
        <v>1</v>
      </c>
      <c r="C31" s="295" t="s">
        <v>742</v>
      </c>
      <c r="D31" s="295" t="s">
        <v>133</v>
      </c>
      <c r="E31" s="462">
        <v>1</v>
      </c>
      <c r="F31" s="463">
        <v>815000</v>
      </c>
      <c r="G31" s="463">
        <f t="shared" ref="G31:G32" si="2">E31*F31</f>
        <v>815000</v>
      </c>
      <c r="H31" s="491">
        <f>0.5+2+2+0.5+0.5+15+3.5+3</f>
        <v>27</v>
      </c>
    </row>
    <row r="32" spans="1:8">
      <c r="B32" s="460"/>
      <c r="C32" s="461"/>
      <c r="D32" s="295"/>
      <c r="E32" s="462"/>
      <c r="F32" s="463"/>
      <c r="G32" s="463">
        <f t="shared" si="2"/>
        <v>0</v>
      </c>
      <c r="H32" s="491"/>
    </row>
    <row r="33" spans="2:13">
      <c r="B33" s="296">
        <v>2</v>
      </c>
      <c r="C33" s="295" t="s">
        <v>743</v>
      </c>
      <c r="D33" s="295" t="s">
        <v>133</v>
      </c>
      <c r="E33" s="299">
        <v>1</v>
      </c>
      <c r="F33" s="300">
        <v>997100</v>
      </c>
      <c r="G33" s="300">
        <f t="shared" ref="G33:G37" si="3">E33*F33</f>
        <v>997100</v>
      </c>
      <c r="H33" s="491">
        <v>14.25</v>
      </c>
    </row>
    <row r="34" spans="2:13">
      <c r="B34" s="296"/>
      <c r="C34" s="295"/>
      <c r="D34" s="296"/>
      <c r="E34" s="299"/>
      <c r="F34" s="300"/>
      <c r="G34" s="300"/>
      <c r="H34" s="491"/>
    </row>
    <row r="35" spans="2:13">
      <c r="B35" s="296">
        <v>3</v>
      </c>
      <c r="C35" s="295" t="s">
        <v>744</v>
      </c>
      <c r="D35" s="295" t="s">
        <v>133</v>
      </c>
      <c r="E35" s="299">
        <v>1</v>
      </c>
      <c r="F35" s="300">
        <v>916860</v>
      </c>
      <c r="G35" s="300">
        <f t="shared" si="3"/>
        <v>916860</v>
      </c>
      <c r="H35" s="491">
        <v>8</v>
      </c>
    </row>
    <row r="36" spans="2:13">
      <c r="B36" s="296"/>
      <c r="C36" s="295"/>
      <c r="D36" s="296"/>
      <c r="E36" s="299"/>
      <c r="F36" s="300"/>
      <c r="G36" s="300"/>
      <c r="H36" s="491"/>
    </row>
    <row r="37" spans="2:13">
      <c r="B37" s="296">
        <v>4</v>
      </c>
      <c r="C37" s="295" t="s">
        <v>746</v>
      </c>
      <c r="D37" s="295" t="s">
        <v>133</v>
      </c>
      <c r="E37" s="299">
        <v>1</v>
      </c>
      <c r="F37" s="299">
        <v>100000</v>
      </c>
      <c r="G37" s="300">
        <f t="shared" si="3"/>
        <v>100000</v>
      </c>
      <c r="H37" s="491">
        <v>3</v>
      </c>
    </row>
    <row r="38" spans="2:13">
      <c r="B38" s="296"/>
      <c r="C38" s="295"/>
      <c r="D38" s="296"/>
      <c r="E38" s="299"/>
      <c r="F38" s="300"/>
      <c r="G38" s="300"/>
      <c r="H38" s="491"/>
    </row>
    <row r="39" spans="2:13">
      <c r="B39" s="296">
        <v>5</v>
      </c>
      <c r="C39" s="295" t="s">
        <v>802</v>
      </c>
      <c r="D39" s="296"/>
      <c r="E39" s="299">
        <v>1</v>
      </c>
      <c r="F39" s="300">
        <f>M39</f>
        <v>411702</v>
      </c>
      <c r="G39" s="300">
        <f>E39*F39</f>
        <v>411702</v>
      </c>
      <c r="H39" s="477">
        <v>2</v>
      </c>
      <c r="K39" s="493">
        <v>348900</v>
      </c>
      <c r="L39" s="263">
        <f>K39*18%</f>
        <v>62802</v>
      </c>
      <c r="M39" s="433">
        <f>K39+L39</f>
        <v>411702</v>
      </c>
    </row>
    <row r="40" spans="2:13">
      <c r="B40" s="296"/>
      <c r="C40" s="295"/>
      <c r="D40" s="296"/>
      <c r="E40" s="299"/>
      <c r="F40" s="300"/>
      <c r="G40" s="300"/>
      <c r="H40" s="477"/>
    </row>
    <row r="41" spans="2:13">
      <c r="B41" s="296">
        <v>6</v>
      </c>
      <c r="C41" s="295" t="s">
        <v>803</v>
      </c>
      <c r="D41" s="296"/>
      <c r="E41" s="299">
        <v>1</v>
      </c>
      <c r="F41" s="300">
        <f>M41</f>
        <v>285088</v>
      </c>
      <c r="G41" s="300">
        <f>E41*F41</f>
        <v>285088</v>
      </c>
      <c r="H41" s="477"/>
      <c r="K41" s="493">
        <v>241600</v>
      </c>
      <c r="L41" s="263">
        <f>K41*18%</f>
        <v>43488</v>
      </c>
      <c r="M41" s="433">
        <f>K41+L41</f>
        <v>285088</v>
      </c>
    </row>
    <row r="42" spans="2:13">
      <c r="B42" s="296"/>
      <c r="C42" s="295"/>
      <c r="D42" s="296"/>
      <c r="E42" s="299"/>
      <c r="F42" s="300"/>
      <c r="G42" s="300"/>
      <c r="H42" s="477"/>
    </row>
    <row r="43" spans="2:13">
      <c r="B43" s="296">
        <v>7</v>
      </c>
      <c r="C43" s="295" t="s">
        <v>804</v>
      </c>
      <c r="D43" s="296"/>
      <c r="E43" s="299">
        <v>1</v>
      </c>
      <c r="F43" s="300">
        <f>M43</f>
        <v>276946</v>
      </c>
      <c r="G43" s="300">
        <f>E43*F43</f>
        <v>276946</v>
      </c>
      <c r="H43" s="477"/>
      <c r="K43" s="493">
        <v>234700</v>
      </c>
      <c r="L43" s="263">
        <f>K43*18%</f>
        <v>42246</v>
      </c>
      <c r="M43" s="433">
        <f>K43+L43</f>
        <v>276946</v>
      </c>
    </row>
    <row r="44" spans="2:13">
      <c r="B44" s="296"/>
      <c r="C44" s="295"/>
      <c r="D44" s="296"/>
      <c r="E44" s="299"/>
      <c r="F44" s="300"/>
      <c r="G44" s="300"/>
      <c r="H44" s="477"/>
    </row>
    <row r="45" spans="2:13">
      <c r="B45" s="296">
        <v>8</v>
      </c>
      <c r="C45" s="295" t="s">
        <v>805</v>
      </c>
      <c r="D45" s="296"/>
      <c r="E45" s="299">
        <v>1</v>
      </c>
      <c r="F45" s="300">
        <f>M45</f>
        <v>29500</v>
      </c>
      <c r="G45" s="300">
        <f>E45*F45</f>
        <v>29500</v>
      </c>
      <c r="H45" s="477"/>
      <c r="K45" s="493">
        <v>25000</v>
      </c>
      <c r="L45" s="263">
        <f>K45*18%</f>
        <v>4500</v>
      </c>
      <c r="M45" s="433">
        <f>K45+L45</f>
        <v>29500</v>
      </c>
    </row>
    <row r="46" spans="2:13">
      <c r="B46" s="296"/>
      <c r="C46" s="295"/>
      <c r="D46" s="296"/>
      <c r="E46" s="299"/>
      <c r="F46" s="300"/>
      <c r="G46" s="300"/>
      <c r="H46" s="477"/>
    </row>
    <row r="47" spans="2:13">
      <c r="B47" s="296">
        <v>9</v>
      </c>
      <c r="C47" s="295" t="s">
        <v>741</v>
      </c>
      <c r="D47" s="461" t="s">
        <v>693</v>
      </c>
      <c r="E47" s="299">
        <v>1</v>
      </c>
      <c r="F47" s="300">
        <v>216000</v>
      </c>
      <c r="G47" s="300">
        <f t="shared" ref="G47" si="4">E47*F47</f>
        <v>216000</v>
      </c>
      <c r="H47" s="477"/>
    </row>
    <row r="48" spans="2:13">
      <c r="B48" s="296"/>
      <c r="C48" s="295"/>
      <c r="D48" s="296"/>
      <c r="E48" s="299"/>
      <c r="F48" s="300"/>
      <c r="G48" s="300"/>
      <c r="H48" s="477"/>
    </row>
    <row r="49" spans="2:8">
      <c r="B49" s="296">
        <v>10</v>
      </c>
      <c r="C49" s="295" t="s">
        <v>733</v>
      </c>
      <c r="D49" s="295" t="s">
        <v>133</v>
      </c>
      <c r="E49" s="299">
        <v>1</v>
      </c>
      <c r="F49" s="299">
        <v>829540</v>
      </c>
      <c r="G49" s="300">
        <f t="shared" ref="G49" si="5">E49*F49</f>
        <v>829540</v>
      </c>
      <c r="H49" s="492"/>
    </row>
    <row r="50" spans="2:8">
      <c r="B50" s="296"/>
      <c r="C50" s="295" t="s">
        <v>745</v>
      </c>
      <c r="D50" s="296"/>
      <c r="E50" s="299"/>
      <c r="F50" s="300"/>
      <c r="G50" s="300"/>
      <c r="H50" s="465"/>
    </row>
    <row r="51" spans="2:8">
      <c r="B51" s="296"/>
      <c r="C51" s="295"/>
      <c r="D51" s="296"/>
      <c r="E51" s="299"/>
      <c r="F51" s="300"/>
      <c r="G51" s="300"/>
      <c r="H51" s="465"/>
    </row>
    <row r="52" spans="2:8">
      <c r="B52" s="296">
        <v>11</v>
      </c>
      <c r="C52" s="478" t="s">
        <v>807</v>
      </c>
      <c r="D52" s="478"/>
      <c r="E52" s="299">
        <v>1</v>
      </c>
      <c r="F52" s="299">
        <v>500000</v>
      </c>
      <c r="G52" s="300">
        <f t="shared" ref="G52" si="6">E52*F52</f>
        <v>500000</v>
      </c>
      <c r="H52" s="479"/>
    </row>
    <row r="53" spans="2:8">
      <c r="B53" s="559" t="s">
        <v>168</v>
      </c>
      <c r="C53" s="559"/>
      <c r="D53" s="428"/>
      <c r="E53" s="466"/>
      <c r="F53" s="467"/>
      <c r="G53" s="467">
        <f>SUM(G30:G52)</f>
        <v>5377736</v>
      </c>
      <c r="H53" s="444">
        <f>SUM(H30:H52)</f>
        <v>54.25</v>
      </c>
    </row>
    <row r="54" spans="2:8">
      <c r="B54" s="296"/>
      <c r="C54" s="295"/>
      <c r="D54" s="296"/>
      <c r="E54" s="296"/>
      <c r="F54" s="297"/>
      <c r="G54" s="297"/>
      <c r="H54" s="298"/>
    </row>
    <row r="55" spans="2:8">
      <c r="B55" s="428" t="s">
        <v>172</v>
      </c>
      <c r="C55" s="294" t="s">
        <v>349</v>
      </c>
      <c r="D55" s="296"/>
      <c r="E55" s="296"/>
      <c r="F55" s="297"/>
      <c r="G55" s="297">
        <f t="shared" ref="G55:G65" si="7">E55*F55</f>
        <v>0</v>
      </c>
      <c r="H55" s="298"/>
    </row>
    <row r="56" spans="2:8">
      <c r="B56" s="490">
        <v>1</v>
      </c>
      <c r="C56" s="295" t="s">
        <v>740</v>
      </c>
      <c r="D56" s="295"/>
      <c r="E56" s="299"/>
      <c r="F56" s="300"/>
      <c r="G56" s="300">
        <f t="shared" si="7"/>
        <v>0</v>
      </c>
      <c r="H56" s="465"/>
    </row>
    <row r="57" spans="2:8">
      <c r="B57" s="296" t="s">
        <v>717</v>
      </c>
      <c r="C57" s="295" t="s">
        <v>734</v>
      </c>
      <c r="D57" s="461" t="s">
        <v>693</v>
      </c>
      <c r="E57" s="299">
        <v>1</v>
      </c>
      <c r="F57" s="300">
        <v>350000</v>
      </c>
      <c r="G57" s="300">
        <f t="shared" si="7"/>
        <v>350000</v>
      </c>
      <c r="H57" s="477">
        <v>6</v>
      </c>
    </row>
    <row r="58" spans="2:8">
      <c r="B58" s="460" t="s">
        <v>718</v>
      </c>
      <c r="C58" s="461" t="s">
        <v>735</v>
      </c>
      <c r="D58" s="461" t="s">
        <v>693</v>
      </c>
      <c r="E58" s="299">
        <v>1</v>
      </c>
      <c r="F58" s="463">
        <v>245000</v>
      </c>
      <c r="G58" s="463">
        <f t="shared" si="7"/>
        <v>245000</v>
      </c>
      <c r="H58" s="491">
        <v>1.5</v>
      </c>
    </row>
    <row r="59" spans="2:8">
      <c r="B59" s="460" t="s">
        <v>719</v>
      </c>
      <c r="C59" s="461" t="s">
        <v>736</v>
      </c>
      <c r="D59" s="461" t="s">
        <v>693</v>
      </c>
      <c r="E59" s="462">
        <v>1</v>
      </c>
      <c r="F59" s="463">
        <v>70000</v>
      </c>
      <c r="G59" s="463">
        <f t="shared" si="7"/>
        <v>70000</v>
      </c>
      <c r="H59" s="491">
        <v>1</v>
      </c>
    </row>
    <row r="60" spans="2:8">
      <c r="B60" s="490"/>
      <c r="C60" s="295" t="s">
        <v>737</v>
      </c>
      <c r="D60" s="295"/>
      <c r="E60" s="299"/>
      <c r="F60" s="300"/>
      <c r="G60" s="300">
        <v>119700</v>
      </c>
      <c r="H60" s="477"/>
    </row>
    <row r="61" spans="2:8">
      <c r="B61" s="460"/>
      <c r="C61" s="295" t="s">
        <v>738</v>
      </c>
      <c r="D61" s="295"/>
      <c r="E61" s="462"/>
      <c r="F61" s="463"/>
      <c r="G61" s="463">
        <v>1960</v>
      </c>
      <c r="H61" s="491"/>
    </row>
    <row r="62" spans="2:8">
      <c r="B62" s="460"/>
      <c r="C62" s="461" t="s">
        <v>739</v>
      </c>
      <c r="D62" s="461"/>
      <c r="E62" s="462"/>
      <c r="F62" s="463"/>
      <c r="G62" s="463">
        <v>60000</v>
      </c>
      <c r="H62" s="491"/>
    </row>
    <row r="63" spans="2:8">
      <c r="B63" s="428"/>
      <c r="C63" s="295"/>
      <c r="D63" s="295"/>
      <c r="E63" s="296"/>
      <c r="F63" s="297"/>
      <c r="G63" s="297">
        <f t="shared" si="7"/>
        <v>0</v>
      </c>
      <c r="H63" s="298"/>
    </row>
    <row r="64" spans="2:8">
      <c r="B64" s="428"/>
      <c r="C64" s="295"/>
      <c r="D64" s="295"/>
      <c r="E64" s="296"/>
      <c r="F64" s="297"/>
      <c r="G64" s="297">
        <f t="shared" si="7"/>
        <v>0</v>
      </c>
      <c r="H64" s="298"/>
    </row>
    <row r="65" spans="2:11">
      <c r="B65" s="428"/>
      <c r="C65" s="295"/>
      <c r="D65" s="295"/>
      <c r="E65" s="296"/>
      <c r="F65" s="297"/>
      <c r="G65" s="297">
        <f t="shared" si="7"/>
        <v>0</v>
      </c>
      <c r="H65" s="298"/>
    </row>
    <row r="66" spans="2:11">
      <c r="B66" s="559" t="s">
        <v>168</v>
      </c>
      <c r="C66" s="559"/>
      <c r="D66" s="295"/>
      <c r="E66" s="296"/>
      <c r="F66" s="297"/>
      <c r="G66" s="301">
        <f>SUM(G55:G65)</f>
        <v>846660</v>
      </c>
      <c r="H66" s="444">
        <f>SUM(H55:H65)</f>
        <v>8.5</v>
      </c>
    </row>
    <row r="67" spans="2:11">
      <c r="B67" s="490"/>
      <c r="C67" s="490"/>
      <c r="D67" s="295"/>
      <c r="E67" s="296"/>
      <c r="F67" s="297"/>
      <c r="G67" s="297"/>
      <c r="H67" s="297"/>
    </row>
    <row r="68" spans="2:11">
      <c r="B68" s="490" t="s">
        <v>173</v>
      </c>
      <c r="C68" s="490" t="s">
        <v>690</v>
      </c>
      <c r="D68" s="295"/>
      <c r="E68" s="296"/>
      <c r="F68" s="297"/>
      <c r="G68" s="297">
        <f>E68*F68</f>
        <v>0</v>
      </c>
      <c r="H68" s="297"/>
    </row>
    <row r="69" spans="2:11">
      <c r="B69" s="296">
        <v>1</v>
      </c>
      <c r="C69" s="295" t="s">
        <v>748</v>
      </c>
      <c r="D69" s="461" t="s">
        <v>693</v>
      </c>
      <c r="E69" s="462">
        <v>1</v>
      </c>
      <c r="F69" s="463">
        <v>170000</v>
      </c>
      <c r="G69" s="463">
        <f>E69*F69</f>
        <v>170000</v>
      </c>
      <c r="H69" s="491"/>
    </row>
    <row r="70" spans="2:11">
      <c r="B70" s="296"/>
      <c r="C70" s="494"/>
      <c r="D70" s="295"/>
      <c r="E70" s="296"/>
      <c r="F70" s="297"/>
      <c r="G70" s="297">
        <f t="shared" ref="G70:G72" si="8">E70*F70</f>
        <v>0</v>
      </c>
      <c r="H70" s="297"/>
    </row>
    <row r="71" spans="2:11">
      <c r="B71" s="296"/>
      <c r="C71" s="494"/>
      <c r="D71" s="295"/>
      <c r="E71" s="296"/>
      <c r="F71" s="297"/>
      <c r="G71" s="297">
        <f t="shared" si="8"/>
        <v>0</v>
      </c>
      <c r="H71" s="297"/>
    </row>
    <row r="72" spans="2:11">
      <c r="B72" s="296"/>
      <c r="C72" s="494"/>
      <c r="D72" s="295"/>
      <c r="E72" s="296"/>
      <c r="F72" s="297"/>
      <c r="G72" s="297">
        <f t="shared" si="8"/>
        <v>0</v>
      </c>
      <c r="H72" s="297"/>
    </row>
    <row r="73" spans="2:11">
      <c r="B73" s="490"/>
      <c r="C73" s="490"/>
      <c r="D73" s="295"/>
      <c r="E73" s="296"/>
      <c r="F73" s="297"/>
      <c r="G73" s="297"/>
      <c r="H73" s="297"/>
    </row>
    <row r="74" spans="2:11">
      <c r="B74" s="490"/>
      <c r="C74" s="294"/>
      <c r="D74" s="295"/>
      <c r="E74" s="296"/>
      <c r="F74" s="297"/>
      <c r="G74" s="297">
        <f t="shared" ref="G74" si="9">E74*F74</f>
        <v>0</v>
      </c>
      <c r="H74" s="298"/>
    </row>
    <row r="75" spans="2:11">
      <c r="B75" s="559" t="s">
        <v>168</v>
      </c>
      <c r="C75" s="559"/>
      <c r="D75" s="295"/>
      <c r="E75" s="296"/>
      <c r="F75" s="297"/>
      <c r="G75" s="301">
        <f>SUM(G68:G74)</f>
        <v>170000</v>
      </c>
      <c r="H75" s="301"/>
    </row>
    <row r="76" spans="2:11">
      <c r="B76" s="296"/>
      <c r="C76" s="295"/>
      <c r="D76" s="295"/>
      <c r="E76" s="296"/>
      <c r="F76" s="297"/>
      <c r="G76" s="297"/>
      <c r="H76" s="298"/>
    </row>
    <row r="77" spans="2:11">
      <c r="B77" s="557" t="s">
        <v>1</v>
      </c>
      <c r="C77" s="557"/>
      <c r="D77" s="557"/>
      <c r="E77" s="557"/>
      <c r="F77" s="557"/>
      <c r="G77" s="281">
        <f>G66+G53+G28+G75</f>
        <v>6394396</v>
      </c>
      <c r="H77" s="495">
        <f>H66+H53+H28+H75</f>
        <v>62.75</v>
      </c>
    </row>
    <row r="78" spans="2:11">
      <c r="B78" s="429"/>
      <c r="G78" s="282"/>
    </row>
    <row r="79" spans="2:11">
      <c r="B79" s="556" t="s">
        <v>391</v>
      </c>
      <c r="C79" s="556"/>
      <c r="D79" s="556"/>
      <c r="E79" s="556"/>
      <c r="F79" s="556"/>
      <c r="G79" s="556"/>
      <c r="H79" s="556"/>
    </row>
    <row r="80" spans="2:11">
      <c r="B80" s="429"/>
      <c r="G80" s="282"/>
      <c r="I80" s="429"/>
      <c r="J80" s="429"/>
      <c r="K80" s="283"/>
    </row>
    <row r="83" spans="1:7">
      <c r="A83" s="263">
        <v>2.2999999999999998</v>
      </c>
      <c r="B83" s="556" t="s">
        <v>360</v>
      </c>
      <c r="C83" s="556"/>
      <c r="D83" s="556"/>
      <c r="E83" s="556"/>
      <c r="F83" s="556"/>
    </row>
    <row r="85" spans="1:7" ht="42.75">
      <c r="B85" s="284" t="s">
        <v>144</v>
      </c>
      <c r="C85" s="264" t="s">
        <v>128</v>
      </c>
      <c r="D85" s="264" t="s">
        <v>150</v>
      </c>
      <c r="E85" s="264" t="s">
        <v>151</v>
      </c>
      <c r="F85" s="264" t="s">
        <v>156</v>
      </c>
    </row>
    <row r="86" spans="1:7">
      <c r="B86" s="272">
        <v>1</v>
      </c>
      <c r="C86" s="279"/>
      <c r="D86" s="272">
        <v>1</v>
      </c>
      <c r="E86" s="285"/>
      <c r="F86" s="274">
        <f t="shared" ref="F86:F91" si="10">D86*E86</f>
        <v>0</v>
      </c>
    </row>
    <row r="87" spans="1:7">
      <c r="B87" s="272"/>
      <c r="C87" s="279"/>
      <c r="D87" s="272"/>
      <c r="E87" s="285"/>
      <c r="F87" s="274">
        <f t="shared" si="10"/>
        <v>0</v>
      </c>
    </row>
    <row r="88" spans="1:7">
      <c r="B88" s="272"/>
      <c r="C88" s="279"/>
      <c r="D88" s="272"/>
      <c r="E88" s="285"/>
      <c r="F88" s="274">
        <f t="shared" si="10"/>
        <v>0</v>
      </c>
    </row>
    <row r="89" spans="1:7">
      <c r="B89" s="272"/>
      <c r="C89" s="279"/>
      <c r="D89" s="272"/>
      <c r="E89" s="285"/>
      <c r="F89" s="274">
        <f t="shared" si="10"/>
        <v>0</v>
      </c>
    </row>
    <row r="90" spans="1:7">
      <c r="B90" s="272"/>
      <c r="C90" s="279"/>
      <c r="D90" s="272"/>
      <c r="E90" s="285"/>
      <c r="F90" s="274">
        <f t="shared" si="10"/>
        <v>0</v>
      </c>
    </row>
    <row r="91" spans="1:7">
      <c r="B91" s="272"/>
      <c r="C91" s="279"/>
      <c r="D91" s="272"/>
      <c r="E91" s="285"/>
      <c r="F91" s="274">
        <f t="shared" si="10"/>
        <v>0</v>
      </c>
    </row>
    <row r="92" spans="1:7">
      <c r="B92" s="557" t="s">
        <v>1</v>
      </c>
      <c r="C92" s="557"/>
      <c r="D92" s="557"/>
      <c r="E92" s="557"/>
      <c r="F92" s="286">
        <f>SUM(F86:F91)</f>
        <v>0</v>
      </c>
    </row>
    <row r="94" spans="1:7">
      <c r="A94" s="556" t="s">
        <v>392</v>
      </c>
      <c r="B94" s="556"/>
      <c r="C94" s="556"/>
      <c r="D94" s="556"/>
      <c r="E94" s="556"/>
      <c r="F94" s="556"/>
      <c r="G94" s="556"/>
    </row>
    <row r="97" spans="1:7">
      <c r="A97" s="263">
        <v>2.4</v>
      </c>
      <c r="B97" s="556" t="s">
        <v>359</v>
      </c>
      <c r="C97" s="556"/>
      <c r="D97" s="556"/>
      <c r="E97" s="556"/>
      <c r="F97" s="556"/>
    </row>
    <row r="99" spans="1:7" ht="42.75">
      <c r="B99" s="284" t="s">
        <v>144</v>
      </c>
      <c r="C99" s="264" t="s">
        <v>128</v>
      </c>
      <c r="D99" s="264" t="s">
        <v>150</v>
      </c>
      <c r="E99" s="264" t="s">
        <v>151</v>
      </c>
      <c r="F99" s="264" t="s">
        <v>156</v>
      </c>
    </row>
    <row r="100" spans="1:7">
      <c r="B100" s="272"/>
      <c r="C100" s="279"/>
      <c r="D100" s="272"/>
      <c r="E100" s="285"/>
      <c r="F100" s="274">
        <f t="shared" ref="F100:F105" si="11">D100*E100</f>
        <v>0</v>
      </c>
    </row>
    <row r="101" spans="1:7">
      <c r="B101" s="272"/>
      <c r="C101" s="279"/>
      <c r="D101" s="272"/>
      <c r="E101" s="285"/>
      <c r="F101" s="274">
        <f t="shared" si="11"/>
        <v>0</v>
      </c>
    </row>
    <row r="102" spans="1:7">
      <c r="B102" s="272"/>
      <c r="C102" s="279"/>
      <c r="D102" s="272"/>
      <c r="E102" s="285"/>
      <c r="F102" s="274">
        <f t="shared" si="11"/>
        <v>0</v>
      </c>
    </row>
    <row r="103" spans="1:7">
      <c r="B103" s="272"/>
      <c r="C103" s="279"/>
      <c r="D103" s="272"/>
      <c r="E103" s="285"/>
      <c r="F103" s="274">
        <f t="shared" si="11"/>
        <v>0</v>
      </c>
    </row>
    <row r="104" spans="1:7">
      <c r="B104" s="272"/>
      <c r="C104" s="279"/>
      <c r="D104" s="272"/>
      <c r="E104" s="285"/>
      <c r="F104" s="274">
        <f t="shared" si="11"/>
        <v>0</v>
      </c>
    </row>
    <row r="105" spans="1:7">
      <c r="B105" s="272"/>
      <c r="C105" s="279"/>
      <c r="D105" s="272"/>
      <c r="E105" s="285"/>
      <c r="F105" s="274">
        <f t="shared" si="11"/>
        <v>0</v>
      </c>
    </row>
    <row r="106" spans="1:7">
      <c r="B106" s="557" t="s">
        <v>1</v>
      </c>
      <c r="C106" s="557"/>
      <c r="D106" s="557"/>
      <c r="E106" s="557"/>
      <c r="F106" s="286">
        <f>SUM(F100:F105)</f>
        <v>0</v>
      </c>
    </row>
    <row r="108" spans="1:7">
      <c r="A108" s="556" t="s">
        <v>392</v>
      </c>
      <c r="B108" s="556"/>
      <c r="C108" s="556"/>
      <c r="D108" s="556"/>
      <c r="E108" s="556"/>
      <c r="F108" s="556"/>
      <c r="G108" s="556"/>
    </row>
    <row r="111" spans="1:7">
      <c r="A111" s="263">
        <v>2.5</v>
      </c>
      <c r="B111" s="556" t="s">
        <v>806</v>
      </c>
      <c r="C111" s="556"/>
      <c r="D111" s="556"/>
      <c r="E111" s="556"/>
      <c r="F111" s="556"/>
    </row>
    <row r="113" spans="1:7" ht="42.75">
      <c r="B113" s="284" t="s">
        <v>144</v>
      </c>
      <c r="C113" s="264" t="s">
        <v>128</v>
      </c>
      <c r="D113" s="264" t="s">
        <v>150</v>
      </c>
      <c r="E113" s="264" t="s">
        <v>151</v>
      </c>
      <c r="F113" s="264" t="s">
        <v>156</v>
      </c>
    </row>
    <row r="114" spans="1:7">
      <c r="B114" s="296">
        <v>1</v>
      </c>
      <c r="C114" s="432" t="s">
        <v>749</v>
      </c>
      <c r="D114" s="432">
        <v>1</v>
      </c>
      <c r="E114" s="430">
        <v>980000</v>
      </c>
      <c r="F114" s="297">
        <f>E114*D114</f>
        <v>980000</v>
      </c>
    </row>
    <row r="115" spans="1:7">
      <c r="B115" s="296">
        <v>2</v>
      </c>
      <c r="C115" s="295" t="s">
        <v>701</v>
      </c>
      <c r="D115" s="432">
        <v>1</v>
      </c>
      <c r="E115" s="430">
        <v>210000</v>
      </c>
      <c r="F115" s="297">
        <f>E115*D115</f>
        <v>210000</v>
      </c>
    </row>
    <row r="116" spans="1:7">
      <c r="B116" s="296">
        <v>3</v>
      </c>
      <c r="C116" s="295" t="s">
        <v>750</v>
      </c>
      <c r="D116" s="432">
        <v>1</v>
      </c>
      <c r="E116" s="430">
        <v>124000</v>
      </c>
      <c r="F116" s="297">
        <f>E116*D116</f>
        <v>124000</v>
      </c>
    </row>
    <row r="117" spans="1:7">
      <c r="B117" s="296">
        <v>4</v>
      </c>
      <c r="C117" s="295" t="s">
        <v>751</v>
      </c>
      <c r="D117" s="432">
        <v>1</v>
      </c>
      <c r="E117" s="430">
        <v>98000</v>
      </c>
      <c r="F117" s="297">
        <f>E117*D117</f>
        <v>98000</v>
      </c>
    </row>
    <row r="118" spans="1:7">
      <c r="B118" s="296"/>
      <c r="C118" s="295"/>
      <c r="D118" s="296"/>
      <c r="E118" s="430"/>
      <c r="F118" s="297"/>
    </row>
    <row r="119" spans="1:7">
      <c r="B119" s="557" t="s">
        <v>1</v>
      </c>
      <c r="C119" s="557"/>
      <c r="D119" s="557"/>
      <c r="E119" s="557"/>
      <c r="F119" s="286">
        <f>SUM(F114:F117)</f>
        <v>1412000</v>
      </c>
    </row>
    <row r="120" spans="1:7">
      <c r="A120" s="561" t="s">
        <v>428</v>
      </c>
      <c r="B120" s="561"/>
      <c r="C120" s="561"/>
      <c r="D120" s="561"/>
      <c r="E120" s="561"/>
      <c r="F120" s="561"/>
      <c r="G120" s="561"/>
    </row>
    <row r="123" spans="1:7">
      <c r="A123" s="263">
        <v>2.6</v>
      </c>
      <c r="B123" s="556" t="s">
        <v>247</v>
      </c>
      <c r="C123" s="556"/>
      <c r="D123" s="556"/>
    </row>
    <row r="125" spans="1:7" ht="28.5">
      <c r="B125" s="284" t="s">
        <v>144</v>
      </c>
      <c r="C125" s="264" t="s">
        <v>128</v>
      </c>
      <c r="D125" s="264" t="s">
        <v>358</v>
      </c>
    </row>
    <row r="126" spans="1:7">
      <c r="B126" s="431">
        <v>1</v>
      </c>
      <c r="C126" s="295" t="s">
        <v>694</v>
      </c>
      <c r="D126" s="297">
        <v>35000</v>
      </c>
    </row>
    <row r="127" spans="1:7">
      <c r="B127" s="431">
        <v>2</v>
      </c>
      <c r="C127" s="295" t="s">
        <v>715</v>
      </c>
      <c r="D127" s="297">
        <v>38000</v>
      </c>
    </row>
    <row r="128" spans="1:7">
      <c r="B128" s="431">
        <v>3</v>
      </c>
      <c r="C128" s="295" t="s">
        <v>716</v>
      </c>
      <c r="D128" s="297">
        <v>17600</v>
      </c>
    </row>
    <row r="129" spans="1:5">
      <c r="B129" s="431">
        <v>4</v>
      </c>
      <c r="C129" s="295" t="s">
        <v>698</v>
      </c>
      <c r="D129" s="297">
        <v>21830</v>
      </c>
    </row>
    <row r="130" spans="1:5">
      <c r="B130" s="431">
        <v>5</v>
      </c>
      <c r="C130" s="295" t="s">
        <v>699</v>
      </c>
      <c r="D130" s="297">
        <v>200000</v>
      </c>
    </row>
    <row r="131" spans="1:5">
      <c r="B131" s="431">
        <v>6</v>
      </c>
      <c r="C131" s="295"/>
      <c r="D131" s="297"/>
    </row>
    <row r="132" spans="1:5">
      <c r="B132" s="431">
        <v>7</v>
      </c>
      <c r="C132" s="432"/>
      <c r="D132" s="297"/>
    </row>
    <row r="133" spans="1:5">
      <c r="B133" s="431"/>
      <c r="C133" s="295"/>
      <c r="D133" s="297"/>
    </row>
    <row r="134" spans="1:5">
      <c r="B134" s="431"/>
      <c r="C134" s="295"/>
      <c r="D134" s="297"/>
    </row>
    <row r="135" spans="1:5">
      <c r="B135" s="559" t="s">
        <v>1</v>
      </c>
      <c r="C135" s="559"/>
      <c r="D135" s="301">
        <f>SUM(D126:D134)</f>
        <v>312430</v>
      </c>
    </row>
    <row r="137" spans="1:5" ht="43.5" customHeight="1">
      <c r="A137" s="560" t="s">
        <v>663</v>
      </c>
      <c r="B137" s="560"/>
      <c r="C137" s="560"/>
      <c r="D137" s="560"/>
      <c r="E137" s="560"/>
    </row>
  </sheetData>
  <mergeCells count="22">
    <mergeCell ref="B135:C135"/>
    <mergeCell ref="A137:E137"/>
    <mergeCell ref="B75:C75"/>
    <mergeCell ref="A108:G108"/>
    <mergeCell ref="B119:E119"/>
    <mergeCell ref="B111:F111"/>
    <mergeCell ref="A120:G120"/>
    <mergeCell ref="B123:D123"/>
    <mergeCell ref="B92:E92"/>
    <mergeCell ref="B83:F83"/>
    <mergeCell ref="A94:G94"/>
    <mergeCell ref="B106:E106"/>
    <mergeCell ref="B97:F97"/>
    <mergeCell ref="B12:F12"/>
    <mergeCell ref="B2:G2"/>
    <mergeCell ref="B15:G15"/>
    <mergeCell ref="B79:H79"/>
    <mergeCell ref="B77:F77"/>
    <mergeCell ref="B17:H17"/>
    <mergeCell ref="B28:C28"/>
    <mergeCell ref="B53:C53"/>
    <mergeCell ref="B66:C66"/>
  </mergeCells>
  <pageMargins left="0.7" right="0.7" top="0.75" bottom="0.75" header="0.3" footer="0.3"/>
  <pageSetup scale="66" orientation="portrait" r:id="rId1"/>
  <rowBreaks count="1" manualBreakCount="1">
    <brk id="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Q104"/>
  <sheetViews>
    <sheetView view="pageBreakPreview" zoomScale="80" zoomScaleSheetLayoutView="80" workbookViewId="0">
      <selection activeCell="D9" sqref="D9"/>
    </sheetView>
  </sheetViews>
  <sheetFormatPr defaultRowHeight="15"/>
  <cols>
    <col min="1" max="1" width="35.5703125" customWidth="1"/>
    <col min="2" max="2" width="13" bestFit="1" customWidth="1"/>
    <col min="3" max="3" width="14.42578125" bestFit="1" customWidth="1"/>
    <col min="4" max="9" width="12.7109375" bestFit="1" customWidth="1"/>
    <col min="10" max="10" width="11.5703125" bestFit="1" customWidth="1"/>
    <col min="11" max="17" width="12.7109375" bestFit="1" customWidth="1"/>
  </cols>
  <sheetData>
    <row r="2" spans="1:11" ht="18.75">
      <c r="A2" s="565" t="s">
        <v>669</v>
      </c>
      <c r="B2" s="565"/>
      <c r="C2" s="565"/>
      <c r="D2" s="565"/>
      <c r="E2" s="565"/>
      <c r="F2" s="565"/>
      <c r="G2" s="565"/>
      <c r="H2" s="565"/>
      <c r="I2" s="565"/>
      <c r="J2" s="565"/>
      <c r="K2" s="565"/>
    </row>
    <row r="4" spans="1:11">
      <c r="A4" s="75"/>
      <c r="B4" s="75"/>
      <c r="C4" s="75"/>
      <c r="D4" s="75"/>
      <c r="E4" s="159">
        <v>1</v>
      </c>
      <c r="F4" s="163">
        <f>(E4*5%)+E4</f>
        <v>1.05</v>
      </c>
      <c r="G4" s="163">
        <f t="shared" ref="G4:K4" si="0">(F4*5%)+F4</f>
        <v>1.1025</v>
      </c>
      <c r="H4" s="163">
        <f t="shared" si="0"/>
        <v>1.1576250000000001</v>
      </c>
      <c r="I4" s="163">
        <f t="shared" si="0"/>
        <v>1.2155062500000002</v>
      </c>
      <c r="J4" s="163">
        <f t="shared" si="0"/>
        <v>1.2762815625000004</v>
      </c>
      <c r="K4" s="163">
        <f t="shared" si="0"/>
        <v>1.3400956406250004</v>
      </c>
    </row>
    <row r="5" spans="1:11">
      <c r="A5" s="75"/>
      <c r="B5" s="75"/>
      <c r="C5" s="75"/>
      <c r="D5" s="75"/>
      <c r="E5" s="75"/>
      <c r="F5" s="75"/>
      <c r="G5" s="75"/>
      <c r="H5" s="75"/>
      <c r="I5" s="75"/>
      <c r="J5" s="75"/>
      <c r="K5" s="75"/>
    </row>
    <row r="6" spans="1:11">
      <c r="A6" s="129" t="s">
        <v>0</v>
      </c>
      <c r="B6" s="129" t="s">
        <v>133</v>
      </c>
      <c r="C6" s="129" t="s">
        <v>369</v>
      </c>
      <c r="D6" s="129" t="s">
        <v>281</v>
      </c>
      <c r="E6" s="101" t="s">
        <v>2</v>
      </c>
      <c r="F6" s="101" t="s">
        <v>3</v>
      </c>
      <c r="G6" s="101" t="s">
        <v>4</v>
      </c>
      <c r="H6" s="101" t="s">
        <v>5</v>
      </c>
      <c r="I6" s="101" t="s">
        <v>6</v>
      </c>
      <c r="J6" s="101" t="s">
        <v>166</v>
      </c>
      <c r="K6" s="101" t="s">
        <v>165</v>
      </c>
    </row>
    <row r="7" spans="1:11">
      <c r="A7" s="76"/>
      <c r="B7" s="76"/>
      <c r="C7" s="76"/>
      <c r="D7" s="76"/>
      <c r="E7" s="76"/>
      <c r="F7" s="76"/>
      <c r="G7" s="76"/>
      <c r="H7" s="76"/>
      <c r="I7" s="76"/>
      <c r="J7" s="76"/>
      <c r="K7" s="76"/>
    </row>
    <row r="8" spans="1:11">
      <c r="A8" s="76" t="s">
        <v>801</v>
      </c>
      <c r="B8" s="76" t="s">
        <v>370</v>
      </c>
      <c r="C8" s="193">
        <v>1</v>
      </c>
      <c r="D8" s="202">
        <v>20000</v>
      </c>
      <c r="E8" s="77">
        <f>$C8*$D8*12*E$4</f>
        <v>240000</v>
      </c>
      <c r="F8" s="77">
        <f t="shared" ref="F8:K10" si="1">$C8*$D8*12*F$4</f>
        <v>252000</v>
      </c>
      <c r="G8" s="77">
        <f t="shared" si="1"/>
        <v>264600</v>
      </c>
      <c r="H8" s="77">
        <f t="shared" si="1"/>
        <v>277830.00000000006</v>
      </c>
      <c r="I8" s="77">
        <f t="shared" si="1"/>
        <v>291721.50000000006</v>
      </c>
      <c r="J8" s="77">
        <f t="shared" si="1"/>
        <v>306307.57500000007</v>
      </c>
      <c r="K8" s="77">
        <f t="shared" si="1"/>
        <v>321622.9537500001</v>
      </c>
    </row>
    <row r="9" spans="1:11">
      <c r="A9" s="76" t="s">
        <v>183</v>
      </c>
      <c r="B9" s="76" t="s">
        <v>370</v>
      </c>
      <c r="C9" s="193">
        <v>1</v>
      </c>
      <c r="D9" s="202">
        <v>15000</v>
      </c>
      <c r="E9" s="77">
        <f>$C9*$D9*12*E$4</f>
        <v>180000</v>
      </c>
      <c r="F9" s="77">
        <f t="shared" si="1"/>
        <v>189000</v>
      </c>
      <c r="G9" s="77">
        <f t="shared" si="1"/>
        <v>198450</v>
      </c>
      <c r="H9" s="77">
        <f t="shared" si="1"/>
        <v>208372.50000000003</v>
      </c>
      <c r="I9" s="77">
        <f t="shared" si="1"/>
        <v>218791.12500000003</v>
      </c>
      <c r="J9" s="77">
        <f t="shared" si="1"/>
        <v>229730.68125000005</v>
      </c>
      <c r="K9" s="77">
        <f t="shared" si="1"/>
        <v>241217.21531250008</v>
      </c>
    </row>
    <row r="10" spans="1:11">
      <c r="A10" s="76" t="s">
        <v>188</v>
      </c>
      <c r="B10" s="76" t="s">
        <v>370</v>
      </c>
      <c r="C10" s="193">
        <v>3</v>
      </c>
      <c r="D10" s="202">
        <v>12000</v>
      </c>
      <c r="E10" s="77">
        <f>$C10*$D10*12*E$4</f>
        <v>432000</v>
      </c>
      <c r="F10" s="77">
        <f t="shared" si="1"/>
        <v>453600</v>
      </c>
      <c r="G10" s="77">
        <f t="shared" si="1"/>
        <v>476280</v>
      </c>
      <c r="H10" s="77">
        <f t="shared" si="1"/>
        <v>500094.00000000006</v>
      </c>
      <c r="I10" s="77">
        <f t="shared" si="1"/>
        <v>525098.70000000007</v>
      </c>
      <c r="J10" s="77">
        <f t="shared" si="1"/>
        <v>551353.63500000013</v>
      </c>
      <c r="K10" s="77">
        <f t="shared" si="1"/>
        <v>578921.31675000023</v>
      </c>
    </row>
    <row r="11" spans="1:11">
      <c r="A11" s="76" t="s">
        <v>131</v>
      </c>
      <c r="B11" s="76" t="s">
        <v>371</v>
      </c>
      <c r="C11" s="76">
        <v>12</v>
      </c>
      <c r="D11" s="202">
        <v>2000</v>
      </c>
      <c r="E11" s="77">
        <f>$C11*$D11*E$4</f>
        <v>24000</v>
      </c>
      <c r="F11" s="77">
        <f t="shared" ref="F11:K15" si="2">$C11*$D11*F$4</f>
        <v>25200</v>
      </c>
      <c r="G11" s="77">
        <f t="shared" si="2"/>
        <v>26460</v>
      </c>
      <c r="H11" s="77">
        <f t="shared" si="2"/>
        <v>27783.000000000004</v>
      </c>
      <c r="I11" s="77">
        <f t="shared" si="2"/>
        <v>29172.150000000005</v>
      </c>
      <c r="J11" s="77">
        <f t="shared" si="2"/>
        <v>30630.757500000007</v>
      </c>
      <c r="K11" s="77">
        <f t="shared" si="2"/>
        <v>32162.295375000009</v>
      </c>
    </row>
    <row r="12" spans="1:11">
      <c r="A12" s="76" t="s">
        <v>10</v>
      </c>
      <c r="B12" s="76" t="s">
        <v>371</v>
      </c>
      <c r="C12" s="76">
        <v>12</v>
      </c>
      <c r="D12" s="202">
        <v>1500</v>
      </c>
      <c r="E12" s="77">
        <f t="shared" ref="E12:E15" si="3">$C12*$D12*E$4</f>
        <v>18000</v>
      </c>
      <c r="F12" s="77">
        <f t="shared" si="2"/>
        <v>18900</v>
      </c>
      <c r="G12" s="77">
        <f t="shared" si="2"/>
        <v>19845</v>
      </c>
      <c r="H12" s="77">
        <f t="shared" si="2"/>
        <v>20837.250000000004</v>
      </c>
      <c r="I12" s="77">
        <f t="shared" si="2"/>
        <v>21879.112500000003</v>
      </c>
      <c r="J12" s="77">
        <f t="shared" si="2"/>
        <v>22973.068125000005</v>
      </c>
      <c r="K12" s="77">
        <f t="shared" si="2"/>
        <v>24121.721531250008</v>
      </c>
    </row>
    <row r="13" spans="1:11">
      <c r="A13" s="76" t="s">
        <v>184</v>
      </c>
      <c r="B13" s="76" t="s">
        <v>371</v>
      </c>
      <c r="C13" s="76">
        <v>12</v>
      </c>
      <c r="D13" s="202">
        <v>2000</v>
      </c>
      <c r="E13" s="77">
        <f t="shared" si="3"/>
        <v>24000</v>
      </c>
      <c r="F13" s="77">
        <f t="shared" si="2"/>
        <v>25200</v>
      </c>
      <c r="G13" s="77">
        <f t="shared" si="2"/>
        <v>26460</v>
      </c>
      <c r="H13" s="77">
        <f t="shared" si="2"/>
        <v>27783.000000000004</v>
      </c>
      <c r="I13" s="77">
        <f t="shared" si="2"/>
        <v>29172.150000000005</v>
      </c>
      <c r="J13" s="77">
        <f t="shared" si="2"/>
        <v>30630.757500000007</v>
      </c>
      <c r="K13" s="77">
        <f t="shared" si="2"/>
        <v>32162.295375000009</v>
      </c>
    </row>
    <row r="14" spans="1:11">
      <c r="A14" s="76" t="s">
        <v>158</v>
      </c>
      <c r="B14" s="76" t="s">
        <v>371</v>
      </c>
      <c r="C14" s="76">
        <v>12</v>
      </c>
      <c r="D14" s="426">
        <v>2000</v>
      </c>
      <c r="E14" s="77">
        <f t="shared" si="3"/>
        <v>24000</v>
      </c>
      <c r="F14" s="77">
        <f t="shared" si="2"/>
        <v>25200</v>
      </c>
      <c r="G14" s="77">
        <f t="shared" si="2"/>
        <v>26460</v>
      </c>
      <c r="H14" s="77">
        <f t="shared" si="2"/>
        <v>27783.000000000004</v>
      </c>
      <c r="I14" s="77">
        <f t="shared" si="2"/>
        <v>29172.150000000005</v>
      </c>
      <c r="J14" s="77">
        <f t="shared" si="2"/>
        <v>30630.757500000007</v>
      </c>
      <c r="K14" s="77">
        <f t="shared" si="2"/>
        <v>32162.295375000009</v>
      </c>
    </row>
    <row r="15" spans="1:11">
      <c r="A15" s="76" t="s">
        <v>185</v>
      </c>
      <c r="B15" s="76" t="s">
        <v>371</v>
      </c>
      <c r="C15" s="76">
        <v>12</v>
      </c>
      <c r="D15" s="202">
        <v>2000</v>
      </c>
      <c r="E15" s="77">
        <f t="shared" si="3"/>
        <v>24000</v>
      </c>
      <c r="F15" s="77">
        <f t="shared" si="2"/>
        <v>25200</v>
      </c>
      <c r="G15" s="77">
        <f t="shared" si="2"/>
        <v>26460</v>
      </c>
      <c r="H15" s="77">
        <f t="shared" si="2"/>
        <v>27783.000000000004</v>
      </c>
      <c r="I15" s="77">
        <f t="shared" si="2"/>
        <v>29172.150000000005</v>
      </c>
      <c r="J15" s="77">
        <f t="shared" si="2"/>
        <v>30630.757500000007</v>
      </c>
      <c r="K15" s="77">
        <f t="shared" si="2"/>
        <v>32162.295375000009</v>
      </c>
    </row>
    <row r="16" spans="1:11">
      <c r="A16" s="76" t="s">
        <v>186</v>
      </c>
      <c r="B16" s="76" t="s">
        <v>372</v>
      </c>
      <c r="C16" s="76">
        <v>1</v>
      </c>
      <c r="D16" s="202">
        <v>50000</v>
      </c>
      <c r="E16" s="77">
        <f>$D16*E$4*$C16</f>
        <v>50000</v>
      </c>
      <c r="F16" s="77">
        <f t="shared" ref="F16:K16" si="4">$D16*F$4*$C16</f>
        <v>52500</v>
      </c>
      <c r="G16" s="77">
        <f t="shared" si="4"/>
        <v>55125</v>
      </c>
      <c r="H16" s="77">
        <f t="shared" si="4"/>
        <v>57881.250000000007</v>
      </c>
      <c r="I16" s="77">
        <f t="shared" si="4"/>
        <v>60775.312500000015</v>
      </c>
      <c r="J16" s="77">
        <f t="shared" si="4"/>
        <v>63814.078125000015</v>
      </c>
      <c r="K16" s="77">
        <f t="shared" si="4"/>
        <v>67004.782031250026</v>
      </c>
    </row>
    <row r="17" spans="1:17">
      <c r="A17" s="76" t="s">
        <v>700</v>
      </c>
      <c r="B17" s="76" t="s">
        <v>372</v>
      </c>
      <c r="C17" s="76">
        <v>1</v>
      </c>
      <c r="D17" s="202">
        <v>50000</v>
      </c>
      <c r="E17" s="77">
        <f t="shared" ref="E17:E22" si="5">$D17*E$4*$C17</f>
        <v>50000</v>
      </c>
      <c r="F17" s="77">
        <f t="shared" ref="F17:K22" si="6">$D17*F$4*$C17</f>
        <v>52500</v>
      </c>
      <c r="G17" s="77">
        <f t="shared" si="6"/>
        <v>55125</v>
      </c>
      <c r="H17" s="77">
        <f t="shared" si="6"/>
        <v>57881.250000000007</v>
      </c>
      <c r="I17" s="77">
        <f t="shared" si="6"/>
        <v>60775.312500000015</v>
      </c>
      <c r="J17" s="77">
        <f t="shared" si="6"/>
        <v>63814.078125000015</v>
      </c>
      <c r="K17" s="77">
        <f t="shared" si="6"/>
        <v>67004.782031250026</v>
      </c>
    </row>
    <row r="18" spans="1:17">
      <c r="A18" s="76"/>
      <c r="B18" s="76"/>
      <c r="C18" s="76"/>
      <c r="D18" s="202"/>
      <c r="E18" s="77">
        <f t="shared" si="5"/>
        <v>0</v>
      </c>
      <c r="F18" s="77">
        <f t="shared" si="6"/>
        <v>0</v>
      </c>
      <c r="G18" s="77">
        <f t="shared" si="6"/>
        <v>0</v>
      </c>
      <c r="H18" s="77">
        <f t="shared" si="6"/>
        <v>0</v>
      </c>
      <c r="I18" s="77">
        <f t="shared" si="6"/>
        <v>0</v>
      </c>
      <c r="J18" s="77">
        <f t="shared" si="6"/>
        <v>0</v>
      </c>
      <c r="K18" s="77">
        <f t="shared" si="6"/>
        <v>0</v>
      </c>
    </row>
    <row r="19" spans="1:17">
      <c r="A19" s="76"/>
      <c r="B19" s="76"/>
      <c r="C19" s="76"/>
      <c r="D19" s="202"/>
      <c r="E19" s="77">
        <f t="shared" si="5"/>
        <v>0</v>
      </c>
      <c r="F19" s="77">
        <f t="shared" si="6"/>
        <v>0</v>
      </c>
      <c r="G19" s="77">
        <f t="shared" si="6"/>
        <v>0</v>
      </c>
      <c r="H19" s="77">
        <f t="shared" si="6"/>
        <v>0</v>
      </c>
      <c r="I19" s="77">
        <f t="shared" si="6"/>
        <v>0</v>
      </c>
      <c r="J19" s="77">
        <f t="shared" si="6"/>
        <v>0</v>
      </c>
      <c r="K19" s="77">
        <f t="shared" si="6"/>
        <v>0</v>
      </c>
    </row>
    <row r="20" spans="1:17">
      <c r="A20" s="76"/>
      <c r="B20" s="76"/>
      <c r="C20" s="76"/>
      <c r="D20" s="202"/>
      <c r="E20" s="77">
        <f t="shared" si="5"/>
        <v>0</v>
      </c>
      <c r="F20" s="77">
        <f t="shared" si="6"/>
        <v>0</v>
      </c>
      <c r="G20" s="77">
        <f t="shared" si="6"/>
        <v>0</v>
      </c>
      <c r="H20" s="77">
        <f t="shared" si="6"/>
        <v>0</v>
      </c>
      <c r="I20" s="77">
        <f t="shared" si="6"/>
        <v>0</v>
      </c>
      <c r="J20" s="77">
        <f t="shared" si="6"/>
        <v>0</v>
      </c>
      <c r="K20" s="77">
        <f t="shared" si="6"/>
        <v>0</v>
      </c>
    </row>
    <row r="21" spans="1:17">
      <c r="A21" s="76"/>
      <c r="B21" s="76"/>
      <c r="C21" s="76"/>
      <c r="D21" s="202"/>
      <c r="E21" s="77">
        <f t="shared" si="5"/>
        <v>0</v>
      </c>
      <c r="F21" s="77">
        <f t="shared" si="6"/>
        <v>0</v>
      </c>
      <c r="G21" s="77">
        <f t="shared" si="6"/>
        <v>0</v>
      </c>
      <c r="H21" s="77">
        <f t="shared" si="6"/>
        <v>0</v>
      </c>
      <c r="I21" s="77">
        <f t="shared" si="6"/>
        <v>0</v>
      </c>
      <c r="J21" s="77">
        <f t="shared" si="6"/>
        <v>0</v>
      </c>
      <c r="K21" s="77">
        <f t="shared" si="6"/>
        <v>0</v>
      </c>
    </row>
    <row r="22" spans="1:17">
      <c r="A22" s="76"/>
      <c r="B22" s="76"/>
      <c r="C22" s="76"/>
      <c r="D22" s="77"/>
      <c r="E22" s="77">
        <f t="shared" si="5"/>
        <v>0</v>
      </c>
      <c r="F22" s="77">
        <f t="shared" si="6"/>
        <v>0</v>
      </c>
      <c r="G22" s="77">
        <f t="shared" si="6"/>
        <v>0</v>
      </c>
      <c r="H22" s="77">
        <f t="shared" si="6"/>
        <v>0</v>
      </c>
      <c r="I22" s="77">
        <f t="shared" si="6"/>
        <v>0</v>
      </c>
      <c r="J22" s="77">
        <f t="shared" si="6"/>
        <v>0</v>
      </c>
      <c r="K22" s="77">
        <f t="shared" si="6"/>
        <v>0</v>
      </c>
    </row>
    <row r="23" spans="1:17">
      <c r="A23" s="78" t="s">
        <v>132</v>
      </c>
      <c r="B23" s="78"/>
      <c r="C23" s="78"/>
      <c r="D23" s="96"/>
      <c r="E23" s="96">
        <f>SUM(E8:E22)</f>
        <v>1066000</v>
      </c>
      <c r="F23" s="96">
        <f t="shared" ref="F23:K23" si="7">SUM(F8:F22)</f>
        <v>1119300</v>
      </c>
      <c r="G23" s="96">
        <f t="shared" si="7"/>
        <v>1175265</v>
      </c>
      <c r="H23" s="96">
        <f t="shared" si="7"/>
        <v>1234028.2500000002</v>
      </c>
      <c r="I23" s="96">
        <f t="shared" si="7"/>
        <v>1295729.6624999999</v>
      </c>
      <c r="J23" s="96">
        <f t="shared" si="7"/>
        <v>1360516.1456250006</v>
      </c>
      <c r="K23" s="96">
        <f t="shared" si="7"/>
        <v>1428541.9529062503</v>
      </c>
    </row>
    <row r="25" spans="1:17">
      <c r="A25" s="3" t="s">
        <v>684</v>
      </c>
    </row>
    <row r="28" spans="1:17">
      <c r="A28" s="566"/>
      <c r="B28" s="566"/>
      <c r="C28" s="566"/>
      <c r="D28" s="566"/>
      <c r="E28" s="566"/>
      <c r="F28" s="566"/>
      <c r="G28" s="566"/>
      <c r="H28" s="566"/>
      <c r="I28" s="566"/>
      <c r="J28" s="566"/>
      <c r="K28" s="566"/>
      <c r="L28" s="566"/>
      <c r="M28" s="566"/>
      <c r="N28" s="566"/>
      <c r="O28" s="566"/>
    </row>
    <row r="29" spans="1:17" ht="18.75">
      <c r="A29" s="563" t="s">
        <v>534</v>
      </c>
      <c r="B29" s="563"/>
      <c r="C29" s="563"/>
      <c r="D29" s="563"/>
      <c r="E29" s="563"/>
      <c r="F29" s="563"/>
      <c r="G29" s="563"/>
      <c r="H29" s="563"/>
      <c r="I29" s="563"/>
      <c r="J29" s="563"/>
      <c r="K29" s="563"/>
      <c r="L29" s="563"/>
      <c r="M29" s="563"/>
      <c r="N29" s="563"/>
      <c r="O29" s="563"/>
      <c r="P29" s="563"/>
      <c r="Q29" s="563"/>
    </row>
    <row r="30" spans="1:17" s="11" customFormat="1">
      <c r="A30" s="130"/>
      <c r="B30" s="130"/>
      <c r="C30" s="130"/>
      <c r="D30" s="130"/>
      <c r="E30" s="130"/>
      <c r="F30" s="130"/>
      <c r="G30" s="130"/>
      <c r="H30" s="130"/>
      <c r="I30" s="130"/>
      <c r="J30" s="130"/>
      <c r="K30" s="130"/>
      <c r="L30" s="130"/>
      <c r="M30" s="130"/>
      <c r="N30" s="130"/>
      <c r="O30" s="130"/>
    </row>
    <row r="31" spans="1:17">
      <c r="A31" s="75"/>
      <c r="B31" s="75"/>
      <c r="C31" s="567" t="s">
        <v>189</v>
      </c>
      <c r="D31" s="567"/>
      <c r="E31" s="567"/>
      <c r="F31" s="567"/>
      <c r="G31" s="567"/>
      <c r="H31" s="567"/>
      <c r="I31" s="567"/>
      <c r="J31" s="75"/>
      <c r="K31" s="568" t="s">
        <v>190</v>
      </c>
      <c r="L31" s="568"/>
      <c r="M31" s="568"/>
      <c r="N31" s="568"/>
      <c r="O31" s="568"/>
      <c r="P31" s="568"/>
      <c r="Q31" s="568"/>
    </row>
    <row r="32" spans="1:17">
      <c r="A32" s="149" t="s">
        <v>0</v>
      </c>
      <c r="B32" s="142"/>
      <c r="C32" s="47" t="s">
        <v>2</v>
      </c>
      <c r="D32" s="47" t="s">
        <v>3</v>
      </c>
      <c r="E32" s="47" t="s">
        <v>4</v>
      </c>
      <c r="F32" s="47" t="s">
        <v>5</v>
      </c>
      <c r="G32" s="47" t="s">
        <v>6</v>
      </c>
      <c r="H32" s="47" t="s">
        <v>166</v>
      </c>
      <c r="I32" s="47" t="s">
        <v>165</v>
      </c>
      <c r="J32" s="150"/>
      <c r="K32" s="47" t="s">
        <v>2</v>
      </c>
      <c r="L32" s="47" t="s">
        <v>3</v>
      </c>
      <c r="M32" s="47" t="s">
        <v>4</v>
      </c>
      <c r="N32" s="47" t="s">
        <v>5</v>
      </c>
      <c r="O32" s="47" t="s">
        <v>6</v>
      </c>
      <c r="P32" s="47" t="s">
        <v>166</v>
      </c>
      <c r="Q32" s="47" t="s">
        <v>165</v>
      </c>
    </row>
    <row r="33" spans="1:17">
      <c r="A33" s="143" t="s">
        <v>191</v>
      </c>
      <c r="B33" s="80"/>
      <c r="C33" s="80"/>
      <c r="D33" s="80"/>
      <c r="E33" s="80"/>
      <c r="F33" s="80"/>
      <c r="G33" s="144"/>
      <c r="H33" s="144"/>
      <c r="I33" s="144"/>
      <c r="J33" s="80"/>
      <c r="K33" s="80"/>
      <c r="L33" s="80"/>
      <c r="M33" s="80"/>
      <c r="N33" s="80"/>
      <c r="O33" s="144"/>
      <c r="P33" s="144"/>
      <c r="Q33" s="144"/>
    </row>
    <row r="34" spans="1:17">
      <c r="A34" s="143"/>
      <c r="B34" s="80"/>
      <c r="C34" s="80"/>
      <c r="D34" s="80"/>
      <c r="E34" s="80"/>
      <c r="F34" s="80"/>
      <c r="G34" s="144"/>
      <c r="H34" s="144"/>
      <c r="I34" s="144"/>
      <c r="J34" s="80"/>
      <c r="K34" s="80"/>
      <c r="L34" s="80"/>
      <c r="M34" s="80"/>
      <c r="N34" s="80"/>
      <c r="O34" s="144"/>
      <c r="P34" s="144"/>
      <c r="Q34" s="144"/>
    </row>
    <row r="35" spans="1:17">
      <c r="A35" s="145"/>
      <c r="B35" s="145"/>
      <c r="C35" s="80"/>
      <c r="D35" s="80"/>
      <c r="E35" s="80"/>
      <c r="F35" s="80"/>
      <c r="G35" s="80"/>
      <c r="H35" s="80"/>
      <c r="I35" s="80"/>
      <c r="J35" s="80"/>
      <c r="K35" s="80"/>
      <c r="L35" s="80"/>
      <c r="M35" s="80"/>
      <c r="N35" s="80"/>
      <c r="O35" s="80"/>
      <c r="P35" s="80"/>
      <c r="Q35" s="80"/>
    </row>
    <row r="36" spans="1:17">
      <c r="A36" s="146" t="s">
        <v>195</v>
      </c>
      <c r="B36" s="146"/>
      <c r="C36" s="80"/>
      <c r="D36" s="80"/>
      <c r="E36" s="80"/>
      <c r="F36" s="80"/>
      <c r="G36" s="80"/>
      <c r="H36" s="80"/>
      <c r="I36" s="80"/>
      <c r="J36" s="80"/>
      <c r="K36" s="80"/>
      <c r="L36" s="80"/>
      <c r="M36" s="80"/>
      <c r="N36" s="80"/>
      <c r="O36" s="80"/>
      <c r="P36" s="80"/>
      <c r="Q36" s="80"/>
    </row>
    <row r="37" spans="1:17">
      <c r="A37" s="145" t="s">
        <v>192</v>
      </c>
      <c r="B37" s="145"/>
      <c r="C37" s="147">
        <f>'1.Project Cost and MOF'!D5</f>
        <v>7607713</v>
      </c>
      <c r="D37" s="147">
        <f t="shared" ref="D37:I37" si="8">C40</f>
        <v>7366548.4978999998</v>
      </c>
      <c r="E37" s="147">
        <f t="shared" si="8"/>
        <v>7125383.9957999997</v>
      </c>
      <c r="F37" s="147">
        <f t="shared" si="8"/>
        <v>6884219.4936999995</v>
      </c>
      <c r="G37" s="147">
        <f t="shared" si="8"/>
        <v>6643054.9915999994</v>
      </c>
      <c r="H37" s="147">
        <f t="shared" si="8"/>
        <v>6401890.4894999992</v>
      </c>
      <c r="I37" s="147">
        <f t="shared" si="8"/>
        <v>6160725.9873999991</v>
      </c>
      <c r="J37" s="80"/>
      <c r="K37" s="147">
        <f>C37</f>
        <v>7607713</v>
      </c>
      <c r="L37" s="147">
        <f t="shared" ref="L37:Q37" si="9">K40</f>
        <v>6884980.2649999997</v>
      </c>
      <c r="M37" s="147">
        <f t="shared" si="9"/>
        <v>6230907.1398249995</v>
      </c>
      <c r="N37" s="147">
        <f t="shared" si="9"/>
        <v>5638970.9615416247</v>
      </c>
      <c r="O37" s="147">
        <f t="shared" si="9"/>
        <v>5103268.7201951705</v>
      </c>
      <c r="P37" s="147">
        <f t="shared" si="9"/>
        <v>4618458.1917766295</v>
      </c>
      <c r="Q37" s="147">
        <f t="shared" si="9"/>
        <v>4179704.6635578498</v>
      </c>
    </row>
    <row r="38" spans="1:17">
      <c r="A38" s="145" t="s">
        <v>17</v>
      </c>
      <c r="B38" s="145"/>
      <c r="C38" s="147">
        <f t="shared" ref="C38:I38" si="10">$C$37*$B$74</f>
        <v>241164.50209999998</v>
      </c>
      <c r="D38" s="147">
        <f t="shared" si="10"/>
        <v>241164.50209999998</v>
      </c>
      <c r="E38" s="147">
        <f t="shared" si="10"/>
        <v>241164.50209999998</v>
      </c>
      <c r="F38" s="147">
        <f t="shared" si="10"/>
        <v>241164.50209999998</v>
      </c>
      <c r="G38" s="147">
        <f t="shared" si="10"/>
        <v>241164.50209999998</v>
      </c>
      <c r="H38" s="147">
        <f t="shared" si="10"/>
        <v>241164.50209999998</v>
      </c>
      <c r="I38" s="147">
        <f t="shared" si="10"/>
        <v>241164.50209999998</v>
      </c>
      <c r="J38" s="80"/>
      <c r="K38" s="147">
        <f t="shared" ref="K38:Q38" si="11">K37*$C$74</f>
        <v>722732.73499999999</v>
      </c>
      <c r="L38" s="147">
        <f t="shared" si="11"/>
        <v>654073.12517499994</v>
      </c>
      <c r="M38" s="147">
        <f t="shared" si="11"/>
        <v>591936.17828337499</v>
      </c>
      <c r="N38" s="147">
        <f t="shared" si="11"/>
        <v>535702.24134645436</v>
      </c>
      <c r="O38" s="147">
        <f t="shared" si="11"/>
        <v>484810.52841854119</v>
      </c>
      <c r="P38" s="147">
        <f t="shared" si="11"/>
        <v>438753.52821877983</v>
      </c>
      <c r="Q38" s="147">
        <f t="shared" si="11"/>
        <v>397071.94303799572</v>
      </c>
    </row>
    <row r="39" spans="1:17">
      <c r="A39" s="145" t="s">
        <v>193</v>
      </c>
      <c r="B39" s="145"/>
      <c r="C39" s="147">
        <f>C38</f>
        <v>241164.50209999998</v>
      </c>
      <c r="D39" s="147">
        <f t="shared" ref="D39:I39" si="12">C39+D38</f>
        <v>482329.00419999997</v>
      </c>
      <c r="E39" s="147">
        <f t="shared" si="12"/>
        <v>723493.50630000001</v>
      </c>
      <c r="F39" s="147">
        <f t="shared" si="12"/>
        <v>964658.00839999993</v>
      </c>
      <c r="G39" s="147">
        <f t="shared" si="12"/>
        <v>1205822.5104999999</v>
      </c>
      <c r="H39" s="147">
        <f t="shared" si="12"/>
        <v>1446987.0125999998</v>
      </c>
      <c r="I39" s="147">
        <f t="shared" si="12"/>
        <v>1688151.5146999997</v>
      </c>
      <c r="J39" s="80"/>
      <c r="K39" s="147">
        <f>K38</f>
        <v>722732.73499999999</v>
      </c>
      <c r="L39" s="147">
        <f t="shared" ref="L39:Q39" si="13">K39+L38</f>
        <v>1376805.860175</v>
      </c>
      <c r="M39" s="147">
        <f t="shared" si="13"/>
        <v>1968742.038458375</v>
      </c>
      <c r="N39" s="147">
        <f t="shared" si="13"/>
        <v>2504444.2798048295</v>
      </c>
      <c r="O39" s="147">
        <f t="shared" si="13"/>
        <v>2989254.8082233705</v>
      </c>
      <c r="P39" s="147">
        <f t="shared" si="13"/>
        <v>3428008.3364421502</v>
      </c>
      <c r="Q39" s="147">
        <f t="shared" si="13"/>
        <v>3825080.2794801458</v>
      </c>
    </row>
    <row r="40" spans="1:17">
      <c r="A40" s="145" t="s">
        <v>194</v>
      </c>
      <c r="B40" s="145"/>
      <c r="C40" s="147">
        <f t="shared" ref="C40:I40" si="14">C37-C38</f>
        <v>7366548.4978999998</v>
      </c>
      <c r="D40" s="147">
        <f t="shared" si="14"/>
        <v>7125383.9957999997</v>
      </c>
      <c r="E40" s="147">
        <f t="shared" si="14"/>
        <v>6884219.4936999995</v>
      </c>
      <c r="F40" s="147">
        <f t="shared" si="14"/>
        <v>6643054.9915999994</v>
      </c>
      <c r="G40" s="147">
        <f t="shared" si="14"/>
        <v>6401890.4894999992</v>
      </c>
      <c r="H40" s="147">
        <f t="shared" si="14"/>
        <v>6160725.9873999991</v>
      </c>
      <c r="I40" s="147">
        <f t="shared" si="14"/>
        <v>5919561.4852999989</v>
      </c>
      <c r="J40" s="80"/>
      <c r="K40" s="147">
        <f t="shared" ref="K40:Q40" si="15">K37-K38</f>
        <v>6884980.2649999997</v>
      </c>
      <c r="L40" s="147">
        <f t="shared" si="15"/>
        <v>6230907.1398249995</v>
      </c>
      <c r="M40" s="147">
        <f t="shared" si="15"/>
        <v>5638970.9615416247</v>
      </c>
      <c r="N40" s="147">
        <f t="shared" si="15"/>
        <v>5103268.7201951705</v>
      </c>
      <c r="O40" s="147">
        <f t="shared" si="15"/>
        <v>4618458.1917766295</v>
      </c>
      <c r="P40" s="147">
        <f t="shared" si="15"/>
        <v>4179704.6635578498</v>
      </c>
      <c r="Q40" s="147">
        <f t="shared" si="15"/>
        <v>3782632.7205198542</v>
      </c>
    </row>
    <row r="41" spans="1:17">
      <c r="A41" s="145"/>
      <c r="B41" s="145"/>
      <c r="C41" s="147"/>
      <c r="D41" s="147"/>
      <c r="E41" s="147"/>
      <c r="F41" s="147"/>
      <c r="G41" s="147"/>
      <c r="H41" s="147"/>
      <c r="I41" s="147"/>
      <c r="J41" s="80"/>
      <c r="K41" s="147"/>
      <c r="L41" s="147"/>
      <c r="M41" s="147"/>
      <c r="N41" s="147"/>
      <c r="O41" s="147"/>
      <c r="P41" s="147"/>
      <c r="Q41" s="147"/>
    </row>
    <row r="42" spans="1:17">
      <c r="A42" s="146" t="s">
        <v>196</v>
      </c>
      <c r="B42" s="146"/>
      <c r="C42" s="147"/>
      <c r="D42" s="147"/>
      <c r="E42" s="147"/>
      <c r="F42" s="147"/>
      <c r="G42" s="147"/>
      <c r="H42" s="147"/>
      <c r="I42" s="147"/>
      <c r="J42" s="80"/>
      <c r="K42" s="147"/>
      <c r="L42" s="147"/>
      <c r="M42" s="147"/>
      <c r="N42" s="147"/>
      <c r="O42" s="147"/>
      <c r="P42" s="147"/>
      <c r="Q42" s="147"/>
    </row>
    <row r="43" spans="1:17">
      <c r="A43" s="145" t="s">
        <v>192</v>
      </c>
      <c r="B43" s="145"/>
      <c r="C43" s="147">
        <f>'1.Project Cost and MOF'!D6</f>
        <v>6394396</v>
      </c>
      <c r="D43" s="147">
        <f t="shared" ref="D43:I43" si="16">C46</f>
        <v>5989630.7331999997</v>
      </c>
      <c r="E43" s="147">
        <f t="shared" si="16"/>
        <v>5584865.4663999993</v>
      </c>
      <c r="F43" s="147">
        <f t="shared" si="16"/>
        <v>5180100.199599999</v>
      </c>
      <c r="G43" s="147">
        <f t="shared" si="16"/>
        <v>4775334.9327999987</v>
      </c>
      <c r="H43" s="147">
        <f t="shared" si="16"/>
        <v>4370569.6659999983</v>
      </c>
      <c r="I43" s="147">
        <f t="shared" si="16"/>
        <v>3965804.3991999985</v>
      </c>
      <c r="J43" s="80"/>
      <c r="K43" s="147">
        <f>C43</f>
        <v>6394396</v>
      </c>
      <c r="L43" s="147">
        <f t="shared" ref="L43:Q43" si="17">K46</f>
        <v>5237010.324</v>
      </c>
      <c r="M43" s="147">
        <f t="shared" si="17"/>
        <v>4289111.455356</v>
      </c>
      <c r="N43" s="147">
        <f t="shared" si="17"/>
        <v>3512782.281936564</v>
      </c>
      <c r="O43" s="147">
        <f t="shared" si="17"/>
        <v>2876968.6889060461</v>
      </c>
      <c r="P43" s="147">
        <f t="shared" si="17"/>
        <v>2356237.3562140516</v>
      </c>
      <c r="Q43" s="147">
        <f t="shared" si="17"/>
        <v>1929758.3947393084</v>
      </c>
    </row>
    <row r="44" spans="1:17">
      <c r="A44" s="145" t="s">
        <v>17</v>
      </c>
      <c r="B44" s="145"/>
      <c r="C44" s="147">
        <f t="shared" ref="C44:I44" si="18">$C$43*$B$78</f>
        <v>404765.26679999998</v>
      </c>
      <c r="D44" s="147">
        <f t="shared" si="18"/>
        <v>404765.26679999998</v>
      </c>
      <c r="E44" s="147">
        <f t="shared" si="18"/>
        <v>404765.26679999998</v>
      </c>
      <c r="F44" s="147">
        <f t="shared" si="18"/>
        <v>404765.26679999998</v>
      </c>
      <c r="G44" s="147">
        <f t="shared" si="18"/>
        <v>404765.26679999998</v>
      </c>
      <c r="H44" s="147">
        <f t="shared" si="18"/>
        <v>404765.26679999998</v>
      </c>
      <c r="I44" s="147">
        <f t="shared" si="18"/>
        <v>404765.26679999998</v>
      </c>
      <c r="J44" s="80"/>
      <c r="K44" s="147">
        <f t="shared" ref="K44:Q44" si="19">K43*$C$78</f>
        <v>1157385.676</v>
      </c>
      <c r="L44" s="147">
        <f t="shared" si="19"/>
        <v>947898.86864400003</v>
      </c>
      <c r="M44" s="147">
        <f t="shared" si="19"/>
        <v>776329.17341943597</v>
      </c>
      <c r="N44" s="147">
        <f t="shared" si="19"/>
        <v>635813.59303051804</v>
      </c>
      <c r="O44" s="147">
        <f t="shared" si="19"/>
        <v>520731.33269199432</v>
      </c>
      <c r="P44" s="147">
        <f t="shared" si="19"/>
        <v>426478.96147474332</v>
      </c>
      <c r="Q44" s="147">
        <f t="shared" si="19"/>
        <v>349286.26944781479</v>
      </c>
    </row>
    <row r="45" spans="1:17">
      <c r="A45" s="145" t="s">
        <v>193</v>
      </c>
      <c r="B45" s="145"/>
      <c r="C45" s="147">
        <f>C44</f>
        <v>404765.26679999998</v>
      </c>
      <c r="D45" s="147">
        <f t="shared" ref="D45:I45" si="20">C45+D44</f>
        <v>809530.53359999997</v>
      </c>
      <c r="E45" s="147">
        <f t="shared" si="20"/>
        <v>1214295.8004000001</v>
      </c>
      <c r="F45" s="147">
        <f t="shared" si="20"/>
        <v>1619061.0671999999</v>
      </c>
      <c r="G45" s="147">
        <f t="shared" si="20"/>
        <v>2023826.3339999998</v>
      </c>
      <c r="H45" s="147">
        <f t="shared" si="20"/>
        <v>2428591.6007999997</v>
      </c>
      <c r="I45" s="147">
        <f t="shared" si="20"/>
        <v>2833356.8675999995</v>
      </c>
      <c r="J45" s="80"/>
      <c r="K45" s="147">
        <f>K44</f>
        <v>1157385.676</v>
      </c>
      <c r="L45" s="147">
        <f t="shared" ref="L45:Q45" si="21">K45+L44</f>
        <v>2105284.544644</v>
      </c>
      <c r="M45" s="147">
        <f t="shared" si="21"/>
        <v>2881613.718063436</v>
      </c>
      <c r="N45" s="147">
        <f t="shared" si="21"/>
        <v>3517427.3110939539</v>
      </c>
      <c r="O45" s="147">
        <f t="shared" si="21"/>
        <v>4038158.6437859484</v>
      </c>
      <c r="P45" s="147">
        <f t="shared" si="21"/>
        <v>4464637.6052606916</v>
      </c>
      <c r="Q45" s="147">
        <f t="shared" si="21"/>
        <v>4813923.8747085063</v>
      </c>
    </row>
    <row r="46" spans="1:17">
      <c r="A46" s="145" t="s">
        <v>194</v>
      </c>
      <c r="B46" s="145"/>
      <c r="C46" s="147">
        <f t="shared" ref="C46:I46" si="22">C43-C44</f>
        <v>5989630.7331999997</v>
      </c>
      <c r="D46" s="147">
        <f t="shared" si="22"/>
        <v>5584865.4663999993</v>
      </c>
      <c r="E46" s="147">
        <f t="shared" si="22"/>
        <v>5180100.199599999</v>
      </c>
      <c r="F46" s="147">
        <f t="shared" si="22"/>
        <v>4775334.9327999987</v>
      </c>
      <c r="G46" s="147">
        <f t="shared" si="22"/>
        <v>4370569.6659999983</v>
      </c>
      <c r="H46" s="147">
        <f t="shared" si="22"/>
        <v>3965804.3991999985</v>
      </c>
      <c r="I46" s="147">
        <f t="shared" si="22"/>
        <v>3561039.1323999986</v>
      </c>
      <c r="J46" s="80"/>
      <c r="K46" s="147">
        <f t="shared" ref="K46:Q46" si="23">K43-K44</f>
        <v>5237010.324</v>
      </c>
      <c r="L46" s="147">
        <f t="shared" si="23"/>
        <v>4289111.455356</v>
      </c>
      <c r="M46" s="147">
        <f t="shared" si="23"/>
        <v>3512782.281936564</v>
      </c>
      <c r="N46" s="147">
        <f t="shared" si="23"/>
        <v>2876968.6889060461</v>
      </c>
      <c r="O46" s="147">
        <f t="shared" si="23"/>
        <v>2356237.3562140516</v>
      </c>
      <c r="P46" s="147">
        <f t="shared" si="23"/>
        <v>1929758.3947393084</v>
      </c>
      <c r="Q46" s="147">
        <f t="shared" si="23"/>
        <v>1580472.1252914937</v>
      </c>
    </row>
    <row r="47" spans="1:17">
      <c r="A47" s="145"/>
      <c r="B47" s="145"/>
      <c r="C47" s="147"/>
      <c r="D47" s="147"/>
      <c r="E47" s="147"/>
      <c r="F47" s="147"/>
      <c r="G47" s="147"/>
      <c r="H47" s="147"/>
      <c r="I47" s="147"/>
      <c r="J47" s="80"/>
      <c r="K47" s="147"/>
      <c r="L47" s="147"/>
      <c r="M47" s="147"/>
      <c r="N47" s="147"/>
      <c r="O47" s="147"/>
      <c r="P47" s="147"/>
      <c r="Q47" s="147"/>
    </row>
    <row r="48" spans="1:17">
      <c r="A48" s="146" t="s">
        <v>197</v>
      </c>
      <c r="B48" s="146"/>
      <c r="C48" s="147"/>
      <c r="D48" s="147"/>
      <c r="E48" s="147"/>
      <c r="F48" s="147"/>
      <c r="G48" s="147"/>
      <c r="H48" s="147"/>
      <c r="I48" s="147"/>
      <c r="J48" s="80"/>
      <c r="K48" s="147"/>
      <c r="L48" s="147"/>
      <c r="M48" s="147"/>
      <c r="N48" s="147"/>
      <c r="O48" s="147"/>
      <c r="P48" s="147"/>
      <c r="Q48" s="147"/>
    </row>
    <row r="49" spans="1:17">
      <c r="A49" s="145" t="s">
        <v>192</v>
      </c>
      <c r="B49" s="145"/>
      <c r="C49" s="147">
        <f>'1.Project Cost and MOF'!D7</f>
        <v>0</v>
      </c>
      <c r="D49" s="147">
        <f t="shared" ref="D49:I49" si="24">C52</f>
        <v>0</v>
      </c>
      <c r="E49" s="147">
        <f t="shared" si="24"/>
        <v>0</v>
      </c>
      <c r="F49" s="147">
        <f t="shared" si="24"/>
        <v>0</v>
      </c>
      <c r="G49" s="147">
        <f t="shared" si="24"/>
        <v>0</v>
      </c>
      <c r="H49" s="147">
        <f t="shared" si="24"/>
        <v>0</v>
      </c>
      <c r="I49" s="147">
        <f t="shared" si="24"/>
        <v>0</v>
      </c>
      <c r="J49" s="80"/>
      <c r="K49" s="147">
        <f>C49</f>
        <v>0</v>
      </c>
      <c r="L49" s="147">
        <f t="shared" ref="L49:Q49" si="25">K52</f>
        <v>0</v>
      </c>
      <c r="M49" s="147">
        <f t="shared" si="25"/>
        <v>0</v>
      </c>
      <c r="N49" s="147">
        <f t="shared" si="25"/>
        <v>0</v>
      </c>
      <c r="O49" s="147">
        <f t="shared" si="25"/>
        <v>0</v>
      </c>
      <c r="P49" s="147">
        <f t="shared" si="25"/>
        <v>0</v>
      </c>
      <c r="Q49" s="147">
        <f t="shared" si="25"/>
        <v>0</v>
      </c>
    </row>
    <row r="50" spans="1:17">
      <c r="A50" s="145" t="s">
        <v>17</v>
      </c>
      <c r="B50" s="145"/>
      <c r="C50" s="147">
        <f t="shared" ref="C50:I50" si="26">$C$49*$B$75</f>
        <v>0</v>
      </c>
      <c r="D50" s="147">
        <f t="shared" si="26"/>
        <v>0</v>
      </c>
      <c r="E50" s="147">
        <f t="shared" si="26"/>
        <v>0</v>
      </c>
      <c r="F50" s="147">
        <f t="shared" si="26"/>
        <v>0</v>
      </c>
      <c r="G50" s="147">
        <f t="shared" si="26"/>
        <v>0</v>
      </c>
      <c r="H50" s="147">
        <f t="shared" si="26"/>
        <v>0</v>
      </c>
      <c r="I50" s="147">
        <f t="shared" si="26"/>
        <v>0</v>
      </c>
      <c r="J50" s="80"/>
      <c r="K50" s="147">
        <f t="shared" ref="K50:Q50" si="27">K49*$C$75</f>
        <v>0</v>
      </c>
      <c r="L50" s="147">
        <f t="shared" si="27"/>
        <v>0</v>
      </c>
      <c r="M50" s="147">
        <f t="shared" si="27"/>
        <v>0</v>
      </c>
      <c r="N50" s="147">
        <f t="shared" si="27"/>
        <v>0</v>
      </c>
      <c r="O50" s="147">
        <f t="shared" si="27"/>
        <v>0</v>
      </c>
      <c r="P50" s="147">
        <f t="shared" si="27"/>
        <v>0</v>
      </c>
      <c r="Q50" s="147">
        <f t="shared" si="27"/>
        <v>0</v>
      </c>
    </row>
    <row r="51" spans="1:17">
      <c r="A51" s="145" t="s">
        <v>193</v>
      </c>
      <c r="B51" s="145"/>
      <c r="C51" s="147">
        <f>C50</f>
        <v>0</v>
      </c>
      <c r="D51" s="147">
        <f t="shared" ref="D51:I51" si="28">C51+D50</f>
        <v>0</v>
      </c>
      <c r="E51" s="147">
        <f t="shared" si="28"/>
        <v>0</v>
      </c>
      <c r="F51" s="147">
        <f t="shared" si="28"/>
        <v>0</v>
      </c>
      <c r="G51" s="147">
        <f t="shared" si="28"/>
        <v>0</v>
      </c>
      <c r="H51" s="147">
        <f t="shared" si="28"/>
        <v>0</v>
      </c>
      <c r="I51" s="147">
        <f t="shared" si="28"/>
        <v>0</v>
      </c>
      <c r="J51" s="80"/>
      <c r="K51" s="147">
        <f>K50</f>
        <v>0</v>
      </c>
      <c r="L51" s="147">
        <f t="shared" ref="L51:Q51" si="29">K51+L50</f>
        <v>0</v>
      </c>
      <c r="M51" s="147">
        <f t="shared" si="29"/>
        <v>0</v>
      </c>
      <c r="N51" s="147">
        <f t="shared" si="29"/>
        <v>0</v>
      </c>
      <c r="O51" s="147">
        <f t="shared" si="29"/>
        <v>0</v>
      </c>
      <c r="P51" s="147">
        <f t="shared" si="29"/>
        <v>0</v>
      </c>
      <c r="Q51" s="147">
        <f t="shared" si="29"/>
        <v>0</v>
      </c>
    </row>
    <row r="52" spans="1:17">
      <c r="A52" s="145" t="s">
        <v>194</v>
      </c>
      <c r="B52" s="145"/>
      <c r="C52" s="147">
        <f t="shared" ref="C52:I52" si="30">C49-C50</f>
        <v>0</v>
      </c>
      <c r="D52" s="147">
        <f t="shared" si="30"/>
        <v>0</v>
      </c>
      <c r="E52" s="147">
        <f t="shared" si="30"/>
        <v>0</v>
      </c>
      <c r="F52" s="147">
        <f t="shared" si="30"/>
        <v>0</v>
      </c>
      <c r="G52" s="147">
        <f t="shared" si="30"/>
        <v>0</v>
      </c>
      <c r="H52" s="147">
        <f t="shared" si="30"/>
        <v>0</v>
      </c>
      <c r="I52" s="147">
        <f t="shared" si="30"/>
        <v>0</v>
      </c>
      <c r="J52" s="80"/>
      <c r="K52" s="147">
        <f t="shared" ref="K52:Q52" si="31">K49-K50</f>
        <v>0</v>
      </c>
      <c r="L52" s="147">
        <f t="shared" si="31"/>
        <v>0</v>
      </c>
      <c r="M52" s="147">
        <f t="shared" si="31"/>
        <v>0</v>
      </c>
      <c r="N52" s="147">
        <f t="shared" si="31"/>
        <v>0</v>
      </c>
      <c r="O52" s="147">
        <f t="shared" si="31"/>
        <v>0</v>
      </c>
      <c r="P52" s="147">
        <f t="shared" si="31"/>
        <v>0</v>
      </c>
      <c r="Q52" s="147">
        <f t="shared" si="31"/>
        <v>0</v>
      </c>
    </row>
    <row r="53" spans="1:17">
      <c r="A53" s="145"/>
      <c r="B53" s="145"/>
      <c r="C53" s="147"/>
      <c r="D53" s="147"/>
      <c r="E53" s="147"/>
      <c r="F53" s="147"/>
      <c r="G53" s="147"/>
      <c r="H53" s="147"/>
      <c r="I53" s="147"/>
      <c r="J53" s="80"/>
      <c r="K53" s="147"/>
      <c r="L53" s="147"/>
      <c r="M53" s="147"/>
      <c r="N53" s="147"/>
      <c r="O53" s="147"/>
      <c r="P53" s="147"/>
      <c r="Q53" s="147"/>
    </row>
    <row r="54" spans="1:17">
      <c r="A54" s="146" t="s">
        <v>157</v>
      </c>
      <c r="B54" s="146"/>
      <c r="C54" s="147"/>
      <c r="D54" s="147"/>
      <c r="E54" s="147"/>
      <c r="F54" s="147"/>
      <c r="G54" s="147"/>
      <c r="H54" s="147"/>
      <c r="I54" s="147"/>
      <c r="J54" s="80"/>
      <c r="K54" s="147"/>
      <c r="L54" s="147"/>
      <c r="M54" s="147"/>
      <c r="N54" s="147"/>
      <c r="O54" s="147"/>
      <c r="P54" s="147"/>
      <c r="Q54" s="147"/>
    </row>
    <row r="55" spans="1:17">
      <c r="A55" s="145" t="s">
        <v>192</v>
      </c>
      <c r="B55" s="145"/>
      <c r="C55" s="147">
        <f>'1.Project Cost and MOF'!D9</f>
        <v>1412000</v>
      </c>
      <c r="D55" s="147">
        <f t="shared" ref="D55:I55" si="32">C58</f>
        <v>1244254.3999999999</v>
      </c>
      <c r="E55" s="147">
        <f t="shared" si="32"/>
        <v>1076508.7999999998</v>
      </c>
      <c r="F55" s="147">
        <f t="shared" si="32"/>
        <v>908763.19999999984</v>
      </c>
      <c r="G55" s="147">
        <f t="shared" si="32"/>
        <v>741017.59999999986</v>
      </c>
      <c r="H55" s="147">
        <f t="shared" si="32"/>
        <v>573271.99999999988</v>
      </c>
      <c r="I55" s="147">
        <f t="shared" si="32"/>
        <v>405526.39999999991</v>
      </c>
      <c r="J55" s="80"/>
      <c r="K55" s="147">
        <f>C55</f>
        <v>1412000</v>
      </c>
      <c r="L55" s="147">
        <f t="shared" ref="L55:Q55" si="33">K58</f>
        <v>971032.39999999991</v>
      </c>
      <c r="M55" s="147">
        <f t="shared" si="33"/>
        <v>667778.98147999984</v>
      </c>
      <c r="N55" s="147">
        <f t="shared" si="33"/>
        <v>459231.60556379589</v>
      </c>
      <c r="O55" s="147">
        <f t="shared" si="33"/>
        <v>315813.57514622243</v>
      </c>
      <c r="P55" s="147">
        <f t="shared" si="33"/>
        <v>217184.99562805716</v>
      </c>
      <c r="Q55" s="147">
        <f t="shared" si="33"/>
        <v>149358.12149341492</v>
      </c>
    </row>
    <row r="56" spans="1:17">
      <c r="A56" s="145" t="s">
        <v>17</v>
      </c>
      <c r="B56" s="145"/>
      <c r="C56" s="147">
        <f t="shared" ref="C56:I56" si="34">$C$55*$B$77</f>
        <v>167745.60000000001</v>
      </c>
      <c r="D56" s="147">
        <f t="shared" si="34"/>
        <v>167745.60000000001</v>
      </c>
      <c r="E56" s="147">
        <f t="shared" si="34"/>
        <v>167745.60000000001</v>
      </c>
      <c r="F56" s="147">
        <f t="shared" si="34"/>
        <v>167745.60000000001</v>
      </c>
      <c r="G56" s="147">
        <f t="shared" si="34"/>
        <v>167745.60000000001</v>
      </c>
      <c r="H56" s="147">
        <f t="shared" si="34"/>
        <v>167745.60000000001</v>
      </c>
      <c r="I56" s="147">
        <f t="shared" si="34"/>
        <v>167745.60000000001</v>
      </c>
      <c r="J56" s="80"/>
      <c r="K56" s="147">
        <f t="shared" ref="K56:Q56" si="35">K55*$C$77</f>
        <v>440967.60000000003</v>
      </c>
      <c r="L56" s="147">
        <f t="shared" si="35"/>
        <v>303253.41852000001</v>
      </c>
      <c r="M56" s="147">
        <f t="shared" si="35"/>
        <v>208547.37591620398</v>
      </c>
      <c r="N56" s="147">
        <f t="shared" si="35"/>
        <v>143418.03041757346</v>
      </c>
      <c r="O56" s="147">
        <f t="shared" si="35"/>
        <v>98628.579518165265</v>
      </c>
      <c r="P56" s="147">
        <f t="shared" si="35"/>
        <v>67826.874134642261</v>
      </c>
      <c r="Q56" s="147">
        <f t="shared" si="35"/>
        <v>46644.541342393481</v>
      </c>
    </row>
    <row r="57" spans="1:17">
      <c r="A57" s="145" t="s">
        <v>193</v>
      </c>
      <c r="B57" s="145"/>
      <c r="C57" s="147">
        <f>C56</f>
        <v>167745.60000000001</v>
      </c>
      <c r="D57" s="147">
        <f t="shared" ref="D57:I57" si="36">C57+D56</f>
        <v>335491.20000000001</v>
      </c>
      <c r="E57" s="147">
        <f t="shared" si="36"/>
        <v>503236.80000000005</v>
      </c>
      <c r="F57" s="147">
        <f t="shared" si="36"/>
        <v>670982.40000000002</v>
      </c>
      <c r="G57" s="147">
        <f t="shared" si="36"/>
        <v>838728</v>
      </c>
      <c r="H57" s="147">
        <f t="shared" si="36"/>
        <v>1006473.6</v>
      </c>
      <c r="I57" s="147">
        <f t="shared" si="36"/>
        <v>1174219.2</v>
      </c>
      <c r="J57" s="80"/>
      <c r="K57" s="147">
        <f>K56</f>
        <v>440967.60000000003</v>
      </c>
      <c r="L57" s="147">
        <f t="shared" ref="L57:Q57" si="37">K57+L56</f>
        <v>744221.01852000004</v>
      </c>
      <c r="M57" s="147">
        <f t="shared" si="37"/>
        <v>952768.39443620399</v>
      </c>
      <c r="N57" s="147">
        <f t="shared" si="37"/>
        <v>1096186.4248537775</v>
      </c>
      <c r="O57" s="147">
        <f t="shared" si="37"/>
        <v>1194815.0043719427</v>
      </c>
      <c r="P57" s="147">
        <f t="shared" si="37"/>
        <v>1262641.878506585</v>
      </c>
      <c r="Q57" s="147">
        <f t="shared" si="37"/>
        <v>1309286.4198489785</v>
      </c>
    </row>
    <row r="58" spans="1:17">
      <c r="A58" s="145" t="s">
        <v>194</v>
      </c>
      <c r="B58" s="145"/>
      <c r="C58" s="147">
        <f t="shared" ref="C58:I58" si="38">C55-C56</f>
        <v>1244254.3999999999</v>
      </c>
      <c r="D58" s="147">
        <f t="shared" si="38"/>
        <v>1076508.7999999998</v>
      </c>
      <c r="E58" s="147">
        <f t="shared" si="38"/>
        <v>908763.19999999984</v>
      </c>
      <c r="F58" s="147">
        <f t="shared" si="38"/>
        <v>741017.59999999986</v>
      </c>
      <c r="G58" s="147">
        <f t="shared" si="38"/>
        <v>573271.99999999988</v>
      </c>
      <c r="H58" s="147">
        <f t="shared" si="38"/>
        <v>405526.39999999991</v>
      </c>
      <c r="I58" s="147">
        <f t="shared" si="38"/>
        <v>237780.7999999999</v>
      </c>
      <c r="J58" s="80"/>
      <c r="K58" s="147">
        <f t="shared" ref="K58:Q58" si="39">K55-K56</f>
        <v>971032.39999999991</v>
      </c>
      <c r="L58" s="147">
        <f t="shared" si="39"/>
        <v>667778.98147999984</v>
      </c>
      <c r="M58" s="147">
        <f t="shared" si="39"/>
        <v>459231.60556379589</v>
      </c>
      <c r="N58" s="147">
        <f t="shared" si="39"/>
        <v>315813.57514622243</v>
      </c>
      <c r="O58" s="147">
        <f t="shared" si="39"/>
        <v>217184.99562805716</v>
      </c>
      <c r="P58" s="147">
        <f t="shared" si="39"/>
        <v>149358.12149341492</v>
      </c>
      <c r="Q58" s="147">
        <f t="shared" si="39"/>
        <v>102713.58015102144</v>
      </c>
    </row>
    <row r="59" spans="1:17">
      <c r="A59" s="145"/>
      <c r="B59" s="145"/>
      <c r="C59" s="147"/>
      <c r="D59" s="147"/>
      <c r="E59" s="147"/>
      <c r="F59" s="147"/>
      <c r="G59" s="147"/>
      <c r="H59" s="147"/>
      <c r="I59" s="147"/>
      <c r="J59" s="80"/>
      <c r="K59" s="147"/>
      <c r="L59" s="147"/>
      <c r="M59" s="147"/>
      <c r="N59" s="147"/>
      <c r="O59" s="147"/>
      <c r="P59" s="147"/>
      <c r="Q59" s="147"/>
    </row>
    <row r="60" spans="1:17">
      <c r="A60" s="237" t="s">
        <v>318</v>
      </c>
      <c r="B60" s="145"/>
      <c r="C60" s="147"/>
      <c r="D60" s="147"/>
      <c r="E60" s="147"/>
      <c r="F60" s="147"/>
      <c r="G60" s="147"/>
      <c r="H60" s="147"/>
      <c r="I60" s="147"/>
      <c r="J60" s="80"/>
      <c r="K60" s="147"/>
      <c r="L60" s="147"/>
      <c r="M60" s="147"/>
      <c r="N60" s="147"/>
      <c r="O60" s="147"/>
      <c r="P60" s="147"/>
      <c r="Q60" s="147"/>
    </row>
    <row r="61" spans="1:17">
      <c r="A61" s="145" t="str">
        <f>A55</f>
        <v>Asset Value</v>
      </c>
      <c r="B61" s="145"/>
      <c r="C61" s="147">
        <f>'1.Project Cost and MOF'!D8</f>
        <v>0</v>
      </c>
      <c r="D61" s="147">
        <f t="shared" ref="D61:I61" si="40">C64</f>
        <v>0</v>
      </c>
      <c r="E61" s="147">
        <f t="shared" si="40"/>
        <v>0</v>
      </c>
      <c r="F61" s="147">
        <f t="shared" si="40"/>
        <v>0</v>
      </c>
      <c r="G61" s="147">
        <f t="shared" si="40"/>
        <v>0</v>
      </c>
      <c r="H61" s="147">
        <f t="shared" si="40"/>
        <v>0</v>
      </c>
      <c r="I61" s="147">
        <f t="shared" si="40"/>
        <v>0</v>
      </c>
      <c r="J61" s="80"/>
      <c r="K61" s="147">
        <f>C61</f>
        <v>0</v>
      </c>
      <c r="L61" s="147">
        <f t="shared" ref="L61:Q61" si="41">K64</f>
        <v>0</v>
      </c>
      <c r="M61" s="147">
        <f t="shared" si="41"/>
        <v>0</v>
      </c>
      <c r="N61" s="147">
        <f t="shared" si="41"/>
        <v>0</v>
      </c>
      <c r="O61" s="147">
        <f t="shared" si="41"/>
        <v>0</v>
      </c>
      <c r="P61" s="147">
        <f t="shared" si="41"/>
        <v>0</v>
      </c>
      <c r="Q61" s="147">
        <f t="shared" si="41"/>
        <v>0</v>
      </c>
    </row>
    <row r="62" spans="1:17">
      <c r="A62" s="145" t="str">
        <f>A56</f>
        <v>Depreciation</v>
      </c>
      <c r="B62" s="145"/>
      <c r="C62" s="147">
        <f t="shared" ref="C62:I62" si="42">$C$61*$B$76</f>
        <v>0</v>
      </c>
      <c r="D62" s="147">
        <f t="shared" si="42"/>
        <v>0</v>
      </c>
      <c r="E62" s="147">
        <f t="shared" si="42"/>
        <v>0</v>
      </c>
      <c r="F62" s="147">
        <f t="shared" si="42"/>
        <v>0</v>
      </c>
      <c r="G62" s="147">
        <f t="shared" si="42"/>
        <v>0</v>
      </c>
      <c r="H62" s="147">
        <f t="shared" si="42"/>
        <v>0</v>
      </c>
      <c r="I62" s="147">
        <f t="shared" si="42"/>
        <v>0</v>
      </c>
      <c r="J62" s="80"/>
      <c r="K62" s="147">
        <f t="shared" ref="K62:Q62" si="43">K61*$C$76</f>
        <v>0</v>
      </c>
      <c r="L62" s="147">
        <f t="shared" si="43"/>
        <v>0</v>
      </c>
      <c r="M62" s="147">
        <f t="shared" si="43"/>
        <v>0</v>
      </c>
      <c r="N62" s="147">
        <f t="shared" si="43"/>
        <v>0</v>
      </c>
      <c r="O62" s="147">
        <f t="shared" si="43"/>
        <v>0</v>
      </c>
      <c r="P62" s="147">
        <f t="shared" si="43"/>
        <v>0</v>
      </c>
      <c r="Q62" s="147">
        <f t="shared" si="43"/>
        <v>0</v>
      </c>
    </row>
    <row r="63" spans="1:17">
      <c r="A63" s="145" t="str">
        <f>A57</f>
        <v>Accumulated Depreciation</v>
      </c>
      <c r="B63" s="145"/>
      <c r="C63" s="147">
        <f>C62</f>
        <v>0</v>
      </c>
      <c r="D63" s="147">
        <f t="shared" ref="D63:I63" si="44">D62+C63</f>
        <v>0</v>
      </c>
      <c r="E63" s="147">
        <f t="shared" si="44"/>
        <v>0</v>
      </c>
      <c r="F63" s="147">
        <f t="shared" si="44"/>
        <v>0</v>
      </c>
      <c r="G63" s="147">
        <f t="shared" si="44"/>
        <v>0</v>
      </c>
      <c r="H63" s="147">
        <f t="shared" si="44"/>
        <v>0</v>
      </c>
      <c r="I63" s="147">
        <f t="shared" si="44"/>
        <v>0</v>
      </c>
      <c r="J63" s="80"/>
      <c r="K63" s="147">
        <f>K62</f>
        <v>0</v>
      </c>
      <c r="L63" s="147">
        <f t="shared" ref="L63:Q63" si="45">L62+K63</f>
        <v>0</v>
      </c>
      <c r="M63" s="147">
        <f t="shared" si="45"/>
        <v>0</v>
      </c>
      <c r="N63" s="147">
        <f t="shared" si="45"/>
        <v>0</v>
      </c>
      <c r="O63" s="147">
        <f t="shared" si="45"/>
        <v>0</v>
      </c>
      <c r="P63" s="147">
        <f t="shared" si="45"/>
        <v>0</v>
      </c>
      <c r="Q63" s="147">
        <f t="shared" si="45"/>
        <v>0</v>
      </c>
    </row>
    <row r="64" spans="1:17">
      <c r="A64" s="145" t="str">
        <f>A58</f>
        <v>Net Fixed Assets</v>
      </c>
      <c r="B64" s="145"/>
      <c r="C64" s="147">
        <f t="shared" ref="C64:I64" si="46">C61-C62</f>
        <v>0</v>
      </c>
      <c r="D64" s="147">
        <f t="shared" si="46"/>
        <v>0</v>
      </c>
      <c r="E64" s="147">
        <f t="shared" si="46"/>
        <v>0</v>
      </c>
      <c r="F64" s="147">
        <f t="shared" si="46"/>
        <v>0</v>
      </c>
      <c r="G64" s="147">
        <f t="shared" si="46"/>
        <v>0</v>
      </c>
      <c r="H64" s="147">
        <f t="shared" si="46"/>
        <v>0</v>
      </c>
      <c r="I64" s="147">
        <f t="shared" si="46"/>
        <v>0</v>
      </c>
      <c r="J64" s="80"/>
      <c r="K64" s="147">
        <f t="shared" ref="K64:Q64" si="47">K61-K62</f>
        <v>0</v>
      </c>
      <c r="L64" s="147">
        <f t="shared" si="47"/>
        <v>0</v>
      </c>
      <c r="M64" s="147">
        <f t="shared" si="47"/>
        <v>0</v>
      </c>
      <c r="N64" s="147">
        <f t="shared" si="47"/>
        <v>0</v>
      </c>
      <c r="O64" s="147">
        <f t="shared" si="47"/>
        <v>0</v>
      </c>
      <c r="P64" s="147">
        <f t="shared" si="47"/>
        <v>0</v>
      </c>
      <c r="Q64" s="147">
        <f t="shared" si="47"/>
        <v>0</v>
      </c>
    </row>
    <row r="65" spans="1:17">
      <c r="A65" s="146" t="s">
        <v>198</v>
      </c>
      <c r="B65" s="146"/>
      <c r="C65" s="148">
        <f t="shared" ref="C65:I68" si="48">C49+C43+C37+C55+C61</f>
        <v>15414109</v>
      </c>
      <c r="D65" s="148">
        <f t="shared" si="48"/>
        <v>14600433.631100001</v>
      </c>
      <c r="E65" s="148">
        <f t="shared" si="48"/>
        <v>13786758.262199998</v>
      </c>
      <c r="F65" s="148">
        <f t="shared" si="48"/>
        <v>12973082.893299997</v>
      </c>
      <c r="G65" s="148">
        <f t="shared" si="48"/>
        <v>12159407.524399998</v>
      </c>
      <c r="H65" s="148">
        <f t="shared" si="48"/>
        <v>11345732.155499998</v>
      </c>
      <c r="I65" s="148">
        <f t="shared" si="48"/>
        <v>10532056.786599997</v>
      </c>
      <c r="J65" s="80"/>
      <c r="K65" s="148">
        <f t="shared" ref="K65:Q68" si="49">K49+K43+K37+K55+K61</f>
        <v>15414109</v>
      </c>
      <c r="L65" s="148">
        <f t="shared" si="49"/>
        <v>13093022.989</v>
      </c>
      <c r="M65" s="148">
        <f t="shared" si="49"/>
        <v>11187797.576661</v>
      </c>
      <c r="N65" s="148">
        <f t="shared" si="49"/>
        <v>9610984.8490419835</v>
      </c>
      <c r="O65" s="148">
        <f t="shared" si="49"/>
        <v>8296050.9842474386</v>
      </c>
      <c r="P65" s="148">
        <f t="shared" si="49"/>
        <v>7191880.5436187387</v>
      </c>
      <c r="Q65" s="148">
        <f t="shared" si="49"/>
        <v>6258821.1797905732</v>
      </c>
    </row>
    <row r="66" spans="1:17">
      <c r="A66" s="146" t="s">
        <v>199</v>
      </c>
      <c r="B66" s="146"/>
      <c r="C66" s="148">
        <f t="shared" si="48"/>
        <v>813675.3689</v>
      </c>
      <c r="D66" s="148">
        <f t="shared" si="48"/>
        <v>813675.3689</v>
      </c>
      <c r="E66" s="148">
        <f t="shared" si="48"/>
        <v>813675.3689</v>
      </c>
      <c r="F66" s="148">
        <f t="shared" si="48"/>
        <v>813675.3689</v>
      </c>
      <c r="G66" s="148">
        <f t="shared" si="48"/>
        <v>813675.3689</v>
      </c>
      <c r="H66" s="148">
        <f t="shared" si="48"/>
        <v>813675.3689</v>
      </c>
      <c r="I66" s="148">
        <f t="shared" si="48"/>
        <v>813675.3689</v>
      </c>
      <c r="J66" s="80"/>
      <c r="K66" s="148">
        <f t="shared" si="49"/>
        <v>2321086.0109999999</v>
      </c>
      <c r="L66" s="148">
        <f t="shared" si="49"/>
        <v>1905225.412339</v>
      </c>
      <c r="M66" s="148">
        <f t="shared" si="49"/>
        <v>1576812.7276190149</v>
      </c>
      <c r="N66" s="148">
        <f t="shared" si="49"/>
        <v>1314933.8647945458</v>
      </c>
      <c r="O66" s="148">
        <f t="shared" si="49"/>
        <v>1104170.4406287007</v>
      </c>
      <c r="P66" s="148">
        <f t="shared" si="49"/>
        <v>933059.36382816546</v>
      </c>
      <c r="Q66" s="148">
        <f t="shared" si="49"/>
        <v>793002.753828204</v>
      </c>
    </row>
    <row r="67" spans="1:17">
      <c r="A67" s="146" t="s">
        <v>200</v>
      </c>
      <c r="B67" s="146"/>
      <c r="C67" s="148">
        <f t="shared" si="48"/>
        <v>813675.3689</v>
      </c>
      <c r="D67" s="148">
        <f t="shared" si="48"/>
        <v>1627350.7378</v>
      </c>
      <c r="E67" s="148">
        <f t="shared" si="48"/>
        <v>2441026.1067000004</v>
      </c>
      <c r="F67" s="148">
        <f t="shared" si="48"/>
        <v>3254701.4756</v>
      </c>
      <c r="G67" s="148">
        <f t="shared" si="48"/>
        <v>4068376.8444999997</v>
      </c>
      <c r="H67" s="148">
        <f t="shared" si="48"/>
        <v>4882052.2133999988</v>
      </c>
      <c r="I67" s="148">
        <f t="shared" si="48"/>
        <v>5695727.582299999</v>
      </c>
      <c r="J67" s="80"/>
      <c r="K67" s="148">
        <f t="shared" si="49"/>
        <v>2321086.0109999999</v>
      </c>
      <c r="L67" s="148">
        <f t="shared" si="49"/>
        <v>4226311.423339</v>
      </c>
      <c r="M67" s="148">
        <f t="shared" si="49"/>
        <v>5803124.1509580147</v>
      </c>
      <c r="N67" s="148">
        <f t="shared" si="49"/>
        <v>7118058.0157525614</v>
      </c>
      <c r="O67" s="148">
        <f t="shared" si="49"/>
        <v>8222228.4563812613</v>
      </c>
      <c r="P67" s="148">
        <f t="shared" si="49"/>
        <v>9155287.8202094268</v>
      </c>
      <c r="Q67" s="148">
        <f t="shared" si="49"/>
        <v>9948290.5740376301</v>
      </c>
    </row>
    <row r="68" spans="1:17">
      <c r="A68" s="146" t="s">
        <v>194</v>
      </c>
      <c r="B68" s="146"/>
      <c r="C68" s="148">
        <f t="shared" si="48"/>
        <v>14600433.631100001</v>
      </c>
      <c r="D68" s="148">
        <f t="shared" si="48"/>
        <v>13786758.262199998</v>
      </c>
      <c r="E68" s="148">
        <f t="shared" si="48"/>
        <v>12973082.893299997</v>
      </c>
      <c r="F68" s="148">
        <f t="shared" si="48"/>
        <v>12159407.524399998</v>
      </c>
      <c r="G68" s="148">
        <f t="shared" si="48"/>
        <v>11345732.155499998</v>
      </c>
      <c r="H68" s="148">
        <f t="shared" si="48"/>
        <v>10532056.786599997</v>
      </c>
      <c r="I68" s="148">
        <f t="shared" si="48"/>
        <v>9718381.4176999982</v>
      </c>
      <c r="J68" s="80"/>
      <c r="K68" s="148">
        <f t="shared" si="49"/>
        <v>13093022.989</v>
      </c>
      <c r="L68" s="148">
        <f t="shared" si="49"/>
        <v>11187797.576661</v>
      </c>
      <c r="M68" s="148">
        <f t="shared" si="49"/>
        <v>9610984.8490419835</v>
      </c>
      <c r="N68" s="148">
        <f t="shared" si="49"/>
        <v>8296050.9842474386</v>
      </c>
      <c r="O68" s="148">
        <f t="shared" si="49"/>
        <v>7191880.5436187387</v>
      </c>
      <c r="P68" s="148">
        <f t="shared" si="49"/>
        <v>6258821.1797905732</v>
      </c>
      <c r="Q68" s="148">
        <f t="shared" si="49"/>
        <v>5465818.4259623699</v>
      </c>
    </row>
    <row r="69" spans="1:17">
      <c r="A69" s="151"/>
      <c r="B69" s="151"/>
      <c r="C69" s="152"/>
      <c r="D69" s="152"/>
      <c r="E69" s="152"/>
      <c r="F69" s="152"/>
      <c r="G69" s="152"/>
      <c r="H69" s="152"/>
      <c r="I69" s="152"/>
      <c r="J69" s="75"/>
    </row>
    <row r="70" spans="1:17">
      <c r="A70" s="75"/>
      <c r="B70" s="75"/>
      <c r="C70" s="75"/>
      <c r="D70" s="75"/>
      <c r="E70" s="75"/>
      <c r="F70" s="75"/>
      <c r="G70" s="75"/>
      <c r="H70" s="75"/>
      <c r="I70" s="75"/>
      <c r="J70" s="75"/>
    </row>
    <row r="71" spans="1:17" ht="43.5">
      <c r="A71" s="153" t="s">
        <v>201</v>
      </c>
      <c r="B71" s="156" t="s">
        <v>664</v>
      </c>
      <c r="C71" s="156" t="s">
        <v>665</v>
      </c>
      <c r="D71" s="75"/>
      <c r="E71" s="75"/>
      <c r="F71" s="75"/>
      <c r="G71" s="75"/>
      <c r="H71" s="75"/>
      <c r="I71" s="75"/>
      <c r="J71" s="75"/>
    </row>
    <row r="72" spans="1:17" ht="29.25">
      <c r="A72" s="156" t="s">
        <v>202</v>
      </c>
      <c r="B72" s="154" t="s">
        <v>203</v>
      </c>
      <c r="C72" s="155" t="s">
        <v>204</v>
      </c>
      <c r="D72" s="75"/>
      <c r="E72" s="75"/>
      <c r="F72" s="75"/>
      <c r="G72" s="75"/>
      <c r="H72" s="75"/>
      <c r="I72" s="75"/>
      <c r="J72" s="75"/>
    </row>
    <row r="73" spans="1:17">
      <c r="A73" s="156" t="s">
        <v>147</v>
      </c>
      <c r="B73" s="256">
        <v>0</v>
      </c>
      <c r="C73" s="256">
        <v>0</v>
      </c>
      <c r="D73" s="75"/>
      <c r="E73" s="75"/>
      <c r="F73" s="75"/>
      <c r="G73" s="75"/>
      <c r="H73" s="75"/>
      <c r="I73" s="75"/>
      <c r="J73" s="75"/>
    </row>
    <row r="74" spans="1:17">
      <c r="A74" s="158" t="s">
        <v>195</v>
      </c>
      <c r="B74" s="256">
        <v>3.1699999999999999E-2</v>
      </c>
      <c r="C74" s="256">
        <v>9.5000000000000001E-2</v>
      </c>
      <c r="D74" s="159"/>
      <c r="E74" s="75"/>
      <c r="F74" s="75"/>
      <c r="G74" s="75"/>
      <c r="H74" s="75"/>
      <c r="I74" s="75"/>
      <c r="J74" s="75"/>
    </row>
    <row r="75" spans="1:17">
      <c r="A75" s="158" t="s">
        <v>197</v>
      </c>
      <c r="B75" s="256">
        <v>9.5000000000000001E-2</v>
      </c>
      <c r="C75" s="256">
        <v>0.25890000000000002</v>
      </c>
      <c r="D75" s="75"/>
      <c r="E75" s="75"/>
      <c r="F75" s="75"/>
      <c r="G75" s="75"/>
      <c r="H75" s="75"/>
      <c r="I75" s="75"/>
      <c r="J75" s="75"/>
    </row>
    <row r="76" spans="1:17">
      <c r="A76" s="75" t="s">
        <v>205</v>
      </c>
      <c r="B76" s="256">
        <v>0.31669999999999998</v>
      </c>
      <c r="C76" s="256">
        <v>0.63160000000000005</v>
      </c>
      <c r="D76" s="75"/>
      <c r="E76" s="75"/>
      <c r="F76" s="75"/>
      <c r="G76" s="75"/>
      <c r="H76" s="75"/>
      <c r="I76" s="75"/>
      <c r="J76" s="75"/>
    </row>
    <row r="77" spans="1:17">
      <c r="A77" s="75" t="s">
        <v>269</v>
      </c>
      <c r="B77" s="256">
        <v>0.1188</v>
      </c>
      <c r="C77" s="256">
        <v>0.31230000000000002</v>
      </c>
      <c r="D77" s="75" t="s">
        <v>705</v>
      </c>
      <c r="E77" s="75"/>
      <c r="F77" s="75"/>
      <c r="G77" s="75"/>
      <c r="H77" s="75"/>
      <c r="I77" s="75"/>
      <c r="J77" s="75"/>
    </row>
    <row r="78" spans="1:17">
      <c r="A78" s="158" t="s">
        <v>206</v>
      </c>
      <c r="B78" s="256">
        <v>6.3299999999999995E-2</v>
      </c>
      <c r="C78" s="256">
        <v>0.18099999999999999</v>
      </c>
      <c r="D78" s="75"/>
      <c r="E78" s="75"/>
      <c r="F78" s="75"/>
      <c r="G78" s="75"/>
      <c r="H78" s="75"/>
      <c r="I78" s="75"/>
      <c r="J78" s="75"/>
    </row>
    <row r="79" spans="1:17" ht="29.25">
      <c r="A79" s="156" t="s">
        <v>201</v>
      </c>
      <c r="B79" s="157"/>
      <c r="C79" s="160"/>
      <c r="D79" s="75"/>
      <c r="E79" s="75"/>
      <c r="F79" s="75"/>
      <c r="G79" s="75"/>
      <c r="H79" s="75"/>
      <c r="I79" s="75"/>
      <c r="J79" s="75"/>
    </row>
    <row r="80" spans="1:17">
      <c r="A80" s="158" t="s">
        <v>207</v>
      </c>
      <c r="B80" s="160">
        <v>0.2</v>
      </c>
      <c r="C80" s="161">
        <v>0.2</v>
      </c>
      <c r="D80" s="75"/>
      <c r="E80" s="75"/>
      <c r="F80" s="75"/>
      <c r="G80" s="75"/>
      <c r="H80" s="75"/>
      <c r="I80" s="75"/>
      <c r="J80" s="75"/>
    </row>
    <row r="81" spans="1:12">
      <c r="A81" s="75"/>
      <c r="B81" s="75"/>
      <c r="C81" s="75"/>
      <c r="D81" s="75"/>
      <c r="E81" s="75"/>
      <c r="F81" s="75"/>
      <c r="G81" s="75"/>
      <c r="H81" s="75"/>
      <c r="I81" s="75"/>
      <c r="J81" s="75"/>
    </row>
    <row r="82" spans="1:12">
      <c r="A82" s="75"/>
      <c r="B82" s="75"/>
      <c r="C82" s="75"/>
      <c r="D82" s="75"/>
      <c r="E82" s="162"/>
      <c r="F82" s="75"/>
      <c r="G82" s="75"/>
      <c r="H82" s="75"/>
      <c r="I82" s="75"/>
      <c r="J82" s="75"/>
    </row>
    <row r="83" spans="1:12" s="50" customFormat="1" ht="18.75">
      <c r="A83" s="562" t="s">
        <v>535</v>
      </c>
      <c r="B83" s="562"/>
      <c r="C83" s="562"/>
      <c r="D83" s="562"/>
      <c r="E83" s="562"/>
      <c r="F83" s="562"/>
      <c r="G83" s="562"/>
      <c r="H83" s="562"/>
      <c r="I83" s="562"/>
      <c r="J83" s="562"/>
    </row>
    <row r="84" spans="1:12" s="50" customFormat="1">
      <c r="A84" s="24"/>
      <c r="B84" s="24"/>
    </row>
    <row r="85" spans="1:12" s="50" customFormat="1">
      <c r="A85" s="133" t="s">
        <v>0</v>
      </c>
      <c r="B85" s="134" t="s">
        <v>328</v>
      </c>
      <c r="C85" s="135" t="s">
        <v>2</v>
      </c>
      <c r="D85" s="135" t="s">
        <v>3</v>
      </c>
      <c r="E85" s="135" t="s">
        <v>4</v>
      </c>
      <c r="F85" s="135" t="s">
        <v>5</v>
      </c>
      <c r="G85" s="135" t="s">
        <v>6</v>
      </c>
      <c r="H85" s="135" t="s">
        <v>166</v>
      </c>
      <c r="I85" s="135" t="s">
        <v>165</v>
      </c>
      <c r="J85" s="27"/>
      <c r="K85" s="27"/>
      <c r="L85" s="27"/>
    </row>
    <row r="86" spans="1:12" s="50" customFormat="1">
      <c r="A86" s="136" t="s">
        <v>247</v>
      </c>
      <c r="B86" s="137">
        <v>5</v>
      </c>
      <c r="C86" s="138">
        <f>'1.Project Cost and MOF'!$D$10/5</f>
        <v>62486</v>
      </c>
      <c r="D86" s="138">
        <f>'1.Project Cost and MOF'!$D$10/5</f>
        <v>62486</v>
      </c>
      <c r="E86" s="138">
        <f>'1.Project Cost and MOF'!$D$10/5</f>
        <v>62486</v>
      </c>
      <c r="F86" s="138">
        <f>'1.Project Cost and MOF'!$D$10/5</f>
        <v>62486</v>
      </c>
      <c r="G86" s="138">
        <f>'1.Project Cost and MOF'!$D$10/5</f>
        <v>62486</v>
      </c>
      <c r="H86" s="138">
        <v>0</v>
      </c>
      <c r="I86" s="138">
        <v>0</v>
      </c>
      <c r="J86" s="27"/>
      <c r="K86" s="27"/>
      <c r="L86" s="27"/>
    </row>
    <row r="87" spans="1:12" s="50" customFormat="1">
      <c r="A87" s="139" t="s">
        <v>329</v>
      </c>
      <c r="B87" s="140"/>
      <c r="C87" s="141">
        <f t="shared" ref="C87:I87" si="50">SUM(C85:C86)</f>
        <v>62486</v>
      </c>
      <c r="D87" s="141">
        <f t="shared" si="50"/>
        <v>62486</v>
      </c>
      <c r="E87" s="141">
        <f t="shared" si="50"/>
        <v>62486</v>
      </c>
      <c r="F87" s="141">
        <f t="shared" si="50"/>
        <v>62486</v>
      </c>
      <c r="G87" s="141">
        <f t="shared" si="50"/>
        <v>62486</v>
      </c>
      <c r="H87" s="141">
        <f t="shared" si="50"/>
        <v>0</v>
      </c>
      <c r="I87" s="141">
        <f t="shared" si="50"/>
        <v>0</v>
      </c>
      <c r="J87" s="51"/>
      <c r="K87" s="51"/>
      <c r="L87" s="51"/>
    </row>
    <row r="88" spans="1:12" s="50" customFormat="1">
      <c r="C88" s="27"/>
      <c r="D88" s="27"/>
      <c r="E88" s="27"/>
      <c r="F88" s="27"/>
      <c r="G88" s="27"/>
      <c r="H88" s="27"/>
      <c r="I88" s="27"/>
      <c r="J88" s="27"/>
      <c r="K88" s="27"/>
      <c r="L88" s="27"/>
    </row>
    <row r="91" spans="1:12">
      <c r="A91" s="22"/>
      <c r="B91" s="23"/>
      <c r="C91" s="23"/>
      <c r="D91" s="23"/>
      <c r="E91" s="23"/>
      <c r="F91" s="23"/>
      <c r="G91" s="23"/>
      <c r="H91" s="23"/>
      <c r="I91" s="23"/>
      <c r="J91" s="23"/>
      <c r="K91" s="23"/>
    </row>
    <row r="92" spans="1:12" ht="18.75">
      <c r="A92" s="563" t="s">
        <v>536</v>
      </c>
      <c r="B92" s="563"/>
      <c r="C92" s="563"/>
      <c r="D92" s="563"/>
      <c r="E92" s="563"/>
      <c r="F92" s="563"/>
      <c r="G92" s="563"/>
      <c r="H92" s="563"/>
      <c r="I92" s="131"/>
      <c r="J92" s="131"/>
      <c r="K92" s="131"/>
    </row>
    <row r="93" spans="1:12">
      <c r="A93" s="24"/>
      <c r="B93" s="23"/>
      <c r="C93" s="23"/>
      <c r="D93" s="23"/>
      <c r="E93" s="23"/>
      <c r="F93" s="23"/>
      <c r="G93" s="23"/>
      <c r="H93" s="23"/>
      <c r="I93" s="23"/>
      <c r="J93" s="23"/>
      <c r="K93" s="23"/>
    </row>
    <row r="94" spans="1:12">
      <c r="A94" s="129" t="s">
        <v>0</v>
      </c>
      <c r="B94" s="101" t="s">
        <v>2</v>
      </c>
      <c r="C94" s="101" t="s">
        <v>3</v>
      </c>
      <c r="D94" s="101" t="s">
        <v>4</v>
      </c>
      <c r="E94" s="101" t="s">
        <v>5</v>
      </c>
      <c r="F94" s="101" t="s">
        <v>6</v>
      </c>
      <c r="G94" s="101" t="s">
        <v>166</v>
      </c>
      <c r="H94" s="101" t="s">
        <v>165</v>
      </c>
      <c r="I94" s="18"/>
      <c r="J94" s="18"/>
      <c r="K94" s="18"/>
    </row>
    <row r="95" spans="1:12">
      <c r="A95" s="71" t="s">
        <v>220</v>
      </c>
      <c r="B95" s="132">
        <f>'6.Cons Profit &amp; Loss'!B49</f>
        <v>-791387.31237854576</v>
      </c>
      <c r="C95" s="132">
        <f>'6.Cons Profit &amp; Loss'!C49</f>
        <v>1115140.0048138108</v>
      </c>
      <c r="D95" s="132">
        <f>'6.Cons Profit &amp; Loss'!D49</f>
        <v>2751598.426021588</v>
      </c>
      <c r="E95" s="132">
        <f>'6.Cons Profit &amp; Loss'!E49</f>
        <v>4442751.3449093392</v>
      </c>
      <c r="F95" s="132">
        <f>'6.Cons Profit &amp; Loss'!F49</f>
        <v>6213037.5919443257</v>
      </c>
      <c r="G95" s="132">
        <f>'6.Cons Profit &amp; Loss'!G49</f>
        <v>8085049.7585428823</v>
      </c>
      <c r="H95" s="132">
        <f>'6.Cons Profit &amp; Loss'!H49</f>
        <v>9933929.6470843796</v>
      </c>
      <c r="I95" s="26"/>
      <c r="J95" s="26"/>
      <c r="K95" s="26"/>
    </row>
    <row r="96" spans="1:12">
      <c r="A96" s="71" t="s">
        <v>221</v>
      </c>
      <c r="B96" s="132">
        <f>'6.Cons Profit &amp; Loss'!B42</f>
        <v>2321086.0109999999</v>
      </c>
      <c r="C96" s="132">
        <f>'6.Cons Profit &amp; Loss'!C42</f>
        <v>1905225.412339</v>
      </c>
      <c r="D96" s="132">
        <f>'6.Cons Profit &amp; Loss'!D42</f>
        <v>1576812.7276190149</v>
      </c>
      <c r="E96" s="132">
        <f>'6.Cons Profit &amp; Loss'!E42</f>
        <v>1314933.8647945458</v>
      </c>
      <c r="F96" s="132">
        <f>'6.Cons Profit &amp; Loss'!F42</f>
        <v>1104170.4406287007</v>
      </c>
      <c r="G96" s="132">
        <f>'6.Cons Profit &amp; Loss'!G42</f>
        <v>933059.36382816546</v>
      </c>
      <c r="H96" s="132">
        <f>'6.Cons Profit &amp; Loss'!H42</f>
        <v>793002.753828204</v>
      </c>
      <c r="I96" s="26"/>
      <c r="J96" s="26"/>
      <c r="K96" s="26"/>
    </row>
    <row r="97" spans="1:11">
      <c r="A97" s="71" t="s">
        <v>222</v>
      </c>
      <c r="B97" s="132">
        <f>'3.Other Exp &amp; Taxes'!K66</f>
        <v>2321086.0109999999</v>
      </c>
      <c r="C97" s="132">
        <f>'3.Other Exp &amp; Taxes'!L66</f>
        <v>1905225.412339</v>
      </c>
      <c r="D97" s="132">
        <f>'3.Other Exp &amp; Taxes'!M66</f>
        <v>1576812.7276190149</v>
      </c>
      <c r="E97" s="132">
        <f>'3.Other Exp &amp; Taxes'!N66</f>
        <v>1314933.8647945458</v>
      </c>
      <c r="F97" s="132">
        <f>'3.Other Exp &amp; Taxes'!O66</f>
        <v>1104170.4406287007</v>
      </c>
      <c r="G97" s="132">
        <f>'3.Other Exp &amp; Taxes'!P66</f>
        <v>933059.36382816546</v>
      </c>
      <c r="H97" s="132">
        <f>'3.Other Exp &amp; Taxes'!Q66</f>
        <v>793002.753828204</v>
      </c>
      <c r="I97" s="26"/>
      <c r="J97" s="26"/>
      <c r="K97" s="26"/>
    </row>
    <row r="98" spans="1:11">
      <c r="A98" s="71" t="s">
        <v>282</v>
      </c>
      <c r="B98" s="132">
        <f t="shared" ref="B98:H98" si="51">B95+B96-B97</f>
        <v>-791387.31237854576</v>
      </c>
      <c r="C98" s="132">
        <f t="shared" si="51"/>
        <v>1115140.0048138108</v>
      </c>
      <c r="D98" s="132">
        <f t="shared" si="51"/>
        <v>2751598.426021588</v>
      </c>
      <c r="E98" s="132">
        <f t="shared" si="51"/>
        <v>4442751.3449093392</v>
      </c>
      <c r="F98" s="132">
        <f t="shared" si="51"/>
        <v>6213037.5919443257</v>
      </c>
      <c r="G98" s="132">
        <f t="shared" si="51"/>
        <v>8085049.7585428823</v>
      </c>
      <c r="H98" s="132">
        <f t="shared" si="51"/>
        <v>9933929.6470843796</v>
      </c>
      <c r="I98" s="26"/>
      <c r="J98" s="26"/>
      <c r="K98" s="26"/>
    </row>
    <row r="99" spans="1:11">
      <c r="A99" s="73" t="s">
        <v>223</v>
      </c>
      <c r="B99" s="262" t="str">
        <f>IF(B98&gt;0,B98*$B$102,"0")</f>
        <v>0</v>
      </c>
      <c r="C99" s="262">
        <f t="shared" ref="C99:H99" si="52">IF(C98&gt;0,C98*$B$102,"0")</f>
        <v>289936.40125159081</v>
      </c>
      <c r="D99" s="262">
        <f t="shared" si="52"/>
        <v>715415.5907656129</v>
      </c>
      <c r="E99" s="262">
        <f t="shared" si="52"/>
        <v>1155115.3496764281</v>
      </c>
      <c r="F99" s="262">
        <f t="shared" si="52"/>
        <v>1615389.7739055248</v>
      </c>
      <c r="G99" s="262">
        <f t="shared" si="52"/>
        <v>2102112.9372211494</v>
      </c>
      <c r="H99" s="262">
        <f t="shared" si="52"/>
        <v>2582821.7082419386</v>
      </c>
      <c r="I99" s="26"/>
      <c r="J99" s="26"/>
      <c r="K99" s="26"/>
    </row>
    <row r="100" spans="1:11">
      <c r="A100" s="25"/>
      <c r="B100" s="23"/>
      <c r="C100" s="23"/>
      <c r="D100" s="23"/>
      <c r="E100" s="23"/>
      <c r="F100" s="23"/>
      <c r="G100" s="23"/>
      <c r="H100" s="23"/>
      <c r="I100" s="23"/>
      <c r="J100" s="23"/>
      <c r="K100" s="23"/>
    </row>
    <row r="101" spans="1:11">
      <c r="A101" s="25"/>
      <c r="B101" s="27"/>
      <c r="C101" s="27"/>
      <c r="D101" s="27"/>
      <c r="E101" s="27"/>
      <c r="F101" s="27"/>
      <c r="G101" s="27"/>
      <c r="H101" s="27"/>
      <c r="I101" s="27"/>
      <c r="J101" s="27"/>
      <c r="K101" s="27"/>
    </row>
    <row r="102" spans="1:11">
      <c r="A102" s="28" t="s">
        <v>373</v>
      </c>
      <c r="B102" s="221">
        <v>0.26</v>
      </c>
      <c r="C102" s="27"/>
      <c r="D102" s="27"/>
      <c r="E102" s="27"/>
      <c r="F102" s="27"/>
      <c r="G102" s="27"/>
      <c r="H102" s="27"/>
      <c r="I102" s="27"/>
      <c r="J102" s="27"/>
      <c r="K102" s="27"/>
    </row>
    <row r="103" spans="1:11">
      <c r="A103" s="23"/>
      <c r="B103" s="23"/>
      <c r="C103" s="23"/>
      <c r="D103" s="23"/>
      <c r="E103" s="23"/>
      <c r="F103" s="23"/>
      <c r="G103" s="23"/>
      <c r="H103" s="23"/>
      <c r="I103" s="23"/>
      <c r="J103" s="23"/>
      <c r="K103" s="23"/>
    </row>
    <row r="104" spans="1:11" ht="29.1" customHeight="1">
      <c r="A104" s="564" t="s">
        <v>402</v>
      </c>
      <c r="B104" s="564"/>
      <c r="C104" s="564"/>
      <c r="D104" s="564"/>
      <c r="E104" s="564"/>
      <c r="F104" s="564"/>
      <c r="G104" s="564"/>
      <c r="H104" s="564"/>
      <c r="I104" s="21"/>
      <c r="J104" s="21"/>
      <c r="K104" s="21"/>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45" orientation="portrait" r:id="rId1"/>
  <rowBreaks count="1" manualBreakCount="1">
    <brk id="104" max="17" man="1"/>
  </rowBreaks>
  <colBreaks count="1" manualBreakCount="1">
    <brk id="11"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98"/>
  <sheetViews>
    <sheetView view="pageBreakPreview" zoomScale="80" zoomScaleSheetLayoutView="80" workbookViewId="0"/>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8" ht="18.75">
      <c r="A2" s="565" t="s">
        <v>537</v>
      </c>
      <c r="B2" s="565"/>
      <c r="C2" s="565"/>
      <c r="D2" s="565"/>
      <c r="E2" s="565"/>
      <c r="F2" s="565"/>
      <c r="G2" s="565"/>
      <c r="H2" s="231"/>
    </row>
    <row r="3" spans="1:8">
      <c r="B3" s="12"/>
      <c r="C3" s="12"/>
      <c r="D3" s="12"/>
      <c r="E3" s="12"/>
      <c r="F3" s="12"/>
      <c r="G3" s="12"/>
    </row>
    <row r="4" spans="1:8">
      <c r="A4" s="75"/>
      <c r="B4" s="75"/>
      <c r="C4" s="75" t="s">
        <v>447</v>
      </c>
      <c r="D4" s="93">
        <f>'1.Project Cost and MOF'!E20</f>
        <v>5504288.6500000013</v>
      </c>
      <c r="E4" s="75"/>
      <c r="F4" s="75"/>
      <c r="G4" s="75"/>
    </row>
    <row r="5" spans="1:8">
      <c r="A5" s="75"/>
      <c r="B5" s="75"/>
      <c r="C5" s="75" t="s">
        <v>721</v>
      </c>
      <c r="D5" s="480">
        <v>8.7499999999999994E-2</v>
      </c>
      <c r="E5" s="75"/>
      <c r="F5" s="75"/>
      <c r="G5" s="75"/>
    </row>
    <row r="6" spans="1:8">
      <c r="A6" s="75"/>
      <c r="B6" s="75"/>
      <c r="C6" s="75" t="s">
        <v>448</v>
      </c>
      <c r="D6" s="468">
        <v>5</v>
      </c>
      <c r="E6" s="75"/>
      <c r="F6" s="75"/>
      <c r="G6" s="75"/>
    </row>
    <row r="7" spans="1:8">
      <c r="A7" s="75"/>
      <c r="B7" s="75"/>
      <c r="C7" s="75" t="s">
        <v>449</v>
      </c>
      <c r="D7" s="468">
        <v>6</v>
      </c>
      <c r="E7" s="75"/>
      <c r="F7" s="75"/>
      <c r="G7" s="75"/>
    </row>
    <row r="8" spans="1:8">
      <c r="A8" s="75"/>
      <c r="B8" s="75"/>
      <c r="C8" s="75" t="s">
        <v>22</v>
      </c>
      <c r="D8" s="93">
        <f>PMT(D5/12,(D6-(D7/12))*12,-D4)</f>
        <v>123678.97691874357</v>
      </c>
      <c r="E8" s="180"/>
      <c r="F8" s="208"/>
      <c r="G8" s="75"/>
    </row>
    <row r="9" spans="1:8">
      <c r="A9" s="129" t="s">
        <v>283</v>
      </c>
      <c r="B9" s="181" t="s">
        <v>18</v>
      </c>
      <c r="C9" s="182" t="s">
        <v>19</v>
      </c>
      <c r="D9" s="182" t="s">
        <v>20</v>
      </c>
      <c r="E9" s="182" t="s">
        <v>21</v>
      </c>
      <c r="F9" s="182" t="s">
        <v>22</v>
      </c>
      <c r="G9" s="182" t="s">
        <v>23</v>
      </c>
    </row>
    <row r="10" spans="1:8" hidden="1">
      <c r="A10" s="76" t="s">
        <v>11</v>
      </c>
      <c r="B10" s="76" t="s">
        <v>52</v>
      </c>
      <c r="C10" s="77">
        <f>D4</f>
        <v>5504288.6500000013</v>
      </c>
      <c r="D10" s="77">
        <f t="shared" ref="D10:D41" si="0">C10*$D$5/12</f>
        <v>40135.438072916673</v>
      </c>
      <c r="E10" s="77">
        <f t="shared" ref="E10:E15" si="1">F10-D10</f>
        <v>0</v>
      </c>
      <c r="F10" s="77">
        <f>D10</f>
        <v>40135.438072916673</v>
      </c>
      <c r="G10" s="77">
        <f>C10-E10</f>
        <v>5504288.6500000013</v>
      </c>
    </row>
    <row r="11" spans="1:8" hidden="1">
      <c r="A11" s="76"/>
      <c r="B11" s="76" t="s">
        <v>53</v>
      </c>
      <c r="C11" s="77">
        <f>G10</f>
        <v>5504288.6500000013</v>
      </c>
      <c r="D11" s="77">
        <f t="shared" si="0"/>
        <v>40135.438072916673</v>
      </c>
      <c r="E11" s="77">
        <f t="shared" si="1"/>
        <v>0</v>
      </c>
      <c r="F11" s="77">
        <f t="shared" ref="F11:F15" si="2">D11</f>
        <v>40135.438072916673</v>
      </c>
      <c r="G11" s="77">
        <f t="shared" ref="G11:G74" si="3">C11-E11</f>
        <v>5504288.6500000013</v>
      </c>
    </row>
    <row r="12" spans="1:8" hidden="1">
      <c r="A12" s="76"/>
      <c r="B12" s="76" t="s">
        <v>54</v>
      </c>
      <c r="C12" s="77">
        <f t="shared" ref="C12:C75" si="4">G11</f>
        <v>5504288.6500000013</v>
      </c>
      <c r="D12" s="77">
        <f t="shared" si="0"/>
        <v>40135.438072916673</v>
      </c>
      <c r="E12" s="77">
        <f t="shared" si="1"/>
        <v>0</v>
      </c>
      <c r="F12" s="77">
        <f t="shared" si="2"/>
        <v>40135.438072916673</v>
      </c>
      <c r="G12" s="77">
        <f t="shared" si="3"/>
        <v>5504288.6500000013</v>
      </c>
    </row>
    <row r="13" spans="1:8" hidden="1">
      <c r="A13" s="76"/>
      <c r="B13" s="76" t="s">
        <v>55</v>
      </c>
      <c r="C13" s="77">
        <f t="shared" si="4"/>
        <v>5504288.6500000013</v>
      </c>
      <c r="D13" s="77">
        <f t="shared" si="0"/>
        <v>40135.438072916673</v>
      </c>
      <c r="E13" s="77">
        <f t="shared" si="1"/>
        <v>0</v>
      </c>
      <c r="F13" s="77">
        <f t="shared" si="2"/>
        <v>40135.438072916673</v>
      </c>
      <c r="G13" s="77">
        <f t="shared" si="3"/>
        <v>5504288.6500000013</v>
      </c>
    </row>
    <row r="14" spans="1:8" hidden="1">
      <c r="A14" s="76"/>
      <c r="B14" s="76" t="s">
        <v>56</v>
      </c>
      <c r="C14" s="77">
        <f t="shared" si="4"/>
        <v>5504288.6500000013</v>
      </c>
      <c r="D14" s="77">
        <f t="shared" si="0"/>
        <v>40135.438072916673</v>
      </c>
      <c r="E14" s="77">
        <f t="shared" si="1"/>
        <v>0</v>
      </c>
      <c r="F14" s="77">
        <f t="shared" si="2"/>
        <v>40135.438072916673</v>
      </c>
      <c r="G14" s="77">
        <f t="shared" si="3"/>
        <v>5504288.6500000013</v>
      </c>
    </row>
    <row r="15" spans="1:8" hidden="1">
      <c r="A15" s="76"/>
      <c r="B15" s="76" t="s">
        <v>57</v>
      </c>
      <c r="C15" s="77">
        <f t="shared" si="4"/>
        <v>5504288.6500000013</v>
      </c>
      <c r="D15" s="77">
        <f t="shared" si="0"/>
        <v>40135.438072916673</v>
      </c>
      <c r="E15" s="77">
        <f t="shared" si="1"/>
        <v>0</v>
      </c>
      <c r="F15" s="77">
        <f t="shared" si="2"/>
        <v>40135.438072916673</v>
      </c>
      <c r="G15" s="77">
        <f t="shared" si="3"/>
        <v>5504288.6500000013</v>
      </c>
    </row>
    <row r="16" spans="1:8" hidden="1">
      <c r="A16" s="76"/>
      <c r="B16" s="76" t="s">
        <v>58</v>
      </c>
      <c r="C16" s="77">
        <f t="shared" si="4"/>
        <v>5504288.6500000013</v>
      </c>
      <c r="D16" s="77">
        <f t="shared" si="0"/>
        <v>40135.438072916673</v>
      </c>
      <c r="E16" s="77">
        <f>F16-D16</f>
        <v>83543.538845826901</v>
      </c>
      <c r="F16" s="77">
        <f t="shared" ref="F16:F69" si="5">$D$8</f>
        <v>123678.97691874357</v>
      </c>
      <c r="G16" s="77">
        <f t="shared" si="3"/>
        <v>5420745.1111541744</v>
      </c>
    </row>
    <row r="17" spans="1:9" hidden="1">
      <c r="A17" s="76"/>
      <c r="B17" s="76" t="s">
        <v>59</v>
      </c>
      <c r="C17" s="77">
        <f t="shared" si="4"/>
        <v>5420745.1111541744</v>
      </c>
      <c r="D17" s="77">
        <f t="shared" si="0"/>
        <v>39526.266435499187</v>
      </c>
      <c r="E17" s="77">
        <f t="shared" ref="E17:E80" si="6">F17-D17</f>
        <v>84152.710483244387</v>
      </c>
      <c r="F17" s="77">
        <f t="shared" si="5"/>
        <v>123678.97691874357</v>
      </c>
      <c r="G17" s="77">
        <f t="shared" si="3"/>
        <v>5336592.4006709298</v>
      </c>
    </row>
    <row r="18" spans="1:9" hidden="1">
      <c r="A18" s="76"/>
      <c r="B18" s="76" t="s">
        <v>60</v>
      </c>
      <c r="C18" s="77">
        <f t="shared" si="4"/>
        <v>5336592.4006709298</v>
      </c>
      <c r="D18" s="77">
        <f t="shared" si="0"/>
        <v>38912.65292155886</v>
      </c>
      <c r="E18" s="77">
        <f t="shared" si="6"/>
        <v>84766.323997184722</v>
      </c>
      <c r="F18" s="77">
        <f t="shared" si="5"/>
        <v>123678.97691874357</v>
      </c>
      <c r="G18" s="77">
        <f t="shared" si="3"/>
        <v>5251826.0766737452</v>
      </c>
    </row>
    <row r="19" spans="1:9" hidden="1">
      <c r="A19" s="76"/>
      <c r="B19" s="76" t="s">
        <v>61</v>
      </c>
      <c r="C19" s="77">
        <f t="shared" si="4"/>
        <v>5251826.0766737452</v>
      </c>
      <c r="D19" s="77">
        <f t="shared" si="0"/>
        <v>38294.565142412721</v>
      </c>
      <c r="E19" s="77">
        <f t="shared" si="6"/>
        <v>85384.411776330846</v>
      </c>
      <c r="F19" s="77">
        <f t="shared" si="5"/>
        <v>123678.97691874357</v>
      </c>
      <c r="G19" s="77">
        <f t="shared" si="3"/>
        <v>5166441.6648974139</v>
      </c>
    </row>
    <row r="20" spans="1:9" hidden="1">
      <c r="A20" s="76"/>
      <c r="B20" s="76" t="s">
        <v>62</v>
      </c>
      <c r="C20" s="77">
        <f t="shared" si="4"/>
        <v>5166441.6648974139</v>
      </c>
      <c r="D20" s="77">
        <f t="shared" si="0"/>
        <v>37671.970473210305</v>
      </c>
      <c r="E20" s="77">
        <f t="shared" si="6"/>
        <v>86007.006445533276</v>
      </c>
      <c r="F20" s="77">
        <f t="shared" si="5"/>
        <v>123678.97691874357</v>
      </c>
      <c r="G20" s="77">
        <f t="shared" si="3"/>
        <v>5080434.6584518803</v>
      </c>
    </row>
    <row r="21" spans="1:9" hidden="1">
      <c r="A21" s="76"/>
      <c r="B21" s="76" t="s">
        <v>63</v>
      </c>
      <c r="C21" s="77">
        <f t="shared" si="4"/>
        <v>5080434.6584518803</v>
      </c>
      <c r="D21" s="77">
        <f t="shared" si="0"/>
        <v>37044.836051211627</v>
      </c>
      <c r="E21" s="77">
        <f t="shared" si="6"/>
        <v>86634.14086753194</v>
      </c>
      <c r="F21" s="77">
        <f t="shared" si="5"/>
        <v>123678.97691874357</v>
      </c>
      <c r="G21" s="426">
        <f t="shared" si="3"/>
        <v>4993800.5175843481</v>
      </c>
      <c r="H21" s="1"/>
      <c r="I21" s="1"/>
    </row>
    <row r="22" spans="1:9" hidden="1">
      <c r="A22" s="76" t="s">
        <v>12</v>
      </c>
      <c r="B22" s="76" t="s">
        <v>64</v>
      </c>
      <c r="C22" s="77">
        <f t="shared" si="4"/>
        <v>4993800.5175843481</v>
      </c>
      <c r="D22" s="77">
        <f t="shared" si="0"/>
        <v>36413.128774052537</v>
      </c>
      <c r="E22" s="77">
        <f t="shared" si="6"/>
        <v>87265.84814469103</v>
      </c>
      <c r="F22" s="77">
        <f t="shared" si="5"/>
        <v>123678.97691874357</v>
      </c>
      <c r="G22" s="77">
        <f t="shared" si="3"/>
        <v>4906534.6694396567</v>
      </c>
    </row>
    <row r="23" spans="1:9" hidden="1">
      <c r="A23" s="76"/>
      <c r="B23" s="76" t="s">
        <v>65</v>
      </c>
      <c r="C23" s="77">
        <f t="shared" si="4"/>
        <v>4906534.6694396567</v>
      </c>
      <c r="D23" s="77">
        <f t="shared" si="0"/>
        <v>35776.815297997491</v>
      </c>
      <c r="E23" s="77">
        <f t="shared" si="6"/>
        <v>87902.161620746076</v>
      </c>
      <c r="F23" s="77">
        <f t="shared" si="5"/>
        <v>123678.97691874357</v>
      </c>
      <c r="G23" s="77">
        <f t="shared" si="3"/>
        <v>4818632.5078189103</v>
      </c>
    </row>
    <row r="24" spans="1:9" hidden="1">
      <c r="A24" s="76"/>
      <c r="B24" s="76" t="s">
        <v>66</v>
      </c>
      <c r="C24" s="77">
        <f t="shared" si="4"/>
        <v>4818632.5078189103</v>
      </c>
      <c r="D24" s="77">
        <f t="shared" si="0"/>
        <v>35135.862036179555</v>
      </c>
      <c r="E24" s="77">
        <f t="shared" si="6"/>
        <v>88543.114882564027</v>
      </c>
      <c r="F24" s="77">
        <f t="shared" si="5"/>
        <v>123678.97691874357</v>
      </c>
      <c r="G24" s="77">
        <f t="shared" si="3"/>
        <v>4730089.3929363461</v>
      </c>
    </row>
    <row r="25" spans="1:9" hidden="1">
      <c r="A25" s="76"/>
      <c r="B25" s="76" t="s">
        <v>67</v>
      </c>
      <c r="C25" s="77">
        <f t="shared" si="4"/>
        <v>4730089.3929363461</v>
      </c>
      <c r="D25" s="77">
        <f t="shared" si="0"/>
        <v>34490.235156827526</v>
      </c>
      <c r="E25" s="77">
        <f t="shared" si="6"/>
        <v>89188.741761916055</v>
      </c>
      <c r="F25" s="77">
        <f t="shared" si="5"/>
        <v>123678.97691874357</v>
      </c>
      <c r="G25" s="77">
        <f t="shared" si="3"/>
        <v>4640900.6511744298</v>
      </c>
    </row>
    <row r="26" spans="1:9" hidden="1">
      <c r="A26" s="76"/>
      <c r="B26" s="76" t="s">
        <v>68</v>
      </c>
      <c r="C26" s="77">
        <f t="shared" si="4"/>
        <v>4640900.6511744298</v>
      </c>
      <c r="D26" s="77">
        <f t="shared" si="0"/>
        <v>33839.900581480215</v>
      </c>
      <c r="E26" s="77">
        <f t="shared" si="6"/>
        <v>89839.076337263366</v>
      </c>
      <c r="F26" s="77">
        <f t="shared" si="5"/>
        <v>123678.97691874357</v>
      </c>
      <c r="G26" s="77">
        <f t="shared" si="3"/>
        <v>4551061.5748371668</v>
      </c>
    </row>
    <row r="27" spans="1:9" hidden="1">
      <c r="A27" s="76"/>
      <c r="B27" s="76" t="s">
        <v>69</v>
      </c>
      <c r="C27" s="77">
        <f t="shared" si="4"/>
        <v>4551061.5748371668</v>
      </c>
      <c r="D27" s="77">
        <f t="shared" si="0"/>
        <v>33184.823983187671</v>
      </c>
      <c r="E27" s="77">
        <f t="shared" si="6"/>
        <v>90494.152935555903</v>
      </c>
      <c r="F27" s="77">
        <f t="shared" si="5"/>
        <v>123678.97691874357</v>
      </c>
      <c r="G27" s="77">
        <f t="shared" si="3"/>
        <v>4460567.4219016107</v>
      </c>
    </row>
    <row r="28" spans="1:9" hidden="1">
      <c r="A28" s="76"/>
      <c r="B28" s="76" t="s">
        <v>70</v>
      </c>
      <c r="C28" s="77">
        <f t="shared" si="4"/>
        <v>4460567.4219016107</v>
      </c>
      <c r="D28" s="77">
        <f t="shared" si="0"/>
        <v>32524.970784699242</v>
      </c>
      <c r="E28" s="77">
        <f t="shared" si="6"/>
        <v>91154.006134044335</v>
      </c>
      <c r="F28" s="77">
        <f t="shared" si="5"/>
        <v>123678.97691874357</v>
      </c>
      <c r="G28" s="77">
        <f t="shared" si="3"/>
        <v>4369413.4157675663</v>
      </c>
    </row>
    <row r="29" spans="1:9" hidden="1">
      <c r="A29" s="76"/>
      <c r="B29" s="76" t="s">
        <v>71</v>
      </c>
      <c r="C29" s="77">
        <f t="shared" si="4"/>
        <v>4369413.4157675663</v>
      </c>
      <c r="D29" s="77">
        <f t="shared" si="0"/>
        <v>31860.3061566385</v>
      </c>
      <c r="E29" s="77">
        <f t="shared" si="6"/>
        <v>91818.670762105074</v>
      </c>
      <c r="F29" s="77">
        <f t="shared" si="5"/>
        <v>123678.97691874357</v>
      </c>
      <c r="G29" s="77">
        <f t="shared" si="3"/>
        <v>4277594.7450054614</v>
      </c>
    </row>
    <row r="30" spans="1:9" hidden="1">
      <c r="A30" s="76"/>
      <c r="B30" s="76" t="s">
        <v>72</v>
      </c>
      <c r="C30" s="77">
        <f t="shared" si="4"/>
        <v>4277594.7450054614</v>
      </c>
      <c r="D30" s="77">
        <f t="shared" si="0"/>
        <v>31190.795015664818</v>
      </c>
      <c r="E30" s="77">
        <f t="shared" si="6"/>
        <v>92488.181903078759</v>
      </c>
      <c r="F30" s="77">
        <f t="shared" si="5"/>
        <v>123678.97691874357</v>
      </c>
      <c r="G30" s="77">
        <f t="shared" si="3"/>
        <v>4185106.5631023827</v>
      </c>
    </row>
    <row r="31" spans="1:9" hidden="1">
      <c r="A31" s="76"/>
      <c r="B31" s="76" t="s">
        <v>73</v>
      </c>
      <c r="C31" s="77">
        <f t="shared" si="4"/>
        <v>4185106.5631023827</v>
      </c>
      <c r="D31" s="77">
        <f t="shared" si="0"/>
        <v>30516.40202262154</v>
      </c>
      <c r="E31" s="77">
        <f t="shared" si="6"/>
        <v>93162.574896122038</v>
      </c>
      <c r="F31" s="77">
        <f t="shared" si="5"/>
        <v>123678.97691874357</v>
      </c>
      <c r="G31" s="77">
        <f t="shared" si="3"/>
        <v>4091943.9882062608</v>
      </c>
    </row>
    <row r="32" spans="1:9" hidden="1">
      <c r="A32" s="76"/>
      <c r="B32" s="76" t="s">
        <v>74</v>
      </c>
      <c r="C32" s="77">
        <f t="shared" si="4"/>
        <v>4091943.9882062608</v>
      </c>
      <c r="D32" s="77">
        <f t="shared" si="0"/>
        <v>29837.091580670651</v>
      </c>
      <c r="E32" s="77">
        <f t="shared" si="6"/>
        <v>93841.885338072927</v>
      </c>
      <c r="F32" s="77">
        <f t="shared" si="5"/>
        <v>123678.97691874357</v>
      </c>
      <c r="G32" s="77">
        <f t="shared" si="3"/>
        <v>3998102.1028681877</v>
      </c>
    </row>
    <row r="33" spans="1:9" hidden="1">
      <c r="A33" s="76"/>
      <c r="B33" s="76" t="s">
        <v>75</v>
      </c>
      <c r="C33" s="77">
        <f t="shared" si="4"/>
        <v>3998102.1028681877</v>
      </c>
      <c r="D33" s="77">
        <f t="shared" si="0"/>
        <v>29152.82783341387</v>
      </c>
      <c r="E33" s="77">
        <f t="shared" si="6"/>
        <v>94526.1490853297</v>
      </c>
      <c r="F33" s="77">
        <f t="shared" si="5"/>
        <v>123678.97691874357</v>
      </c>
      <c r="G33" s="426">
        <f t="shared" si="3"/>
        <v>3903575.9537828579</v>
      </c>
      <c r="H33" s="1"/>
      <c r="I33" s="1"/>
    </row>
    <row r="34" spans="1:9">
      <c r="A34" s="76" t="s">
        <v>13</v>
      </c>
      <c r="B34" s="76" t="s">
        <v>76</v>
      </c>
      <c r="C34" s="77">
        <f t="shared" si="4"/>
        <v>3903575.9537828579</v>
      </c>
      <c r="D34" s="77">
        <f t="shared" si="0"/>
        <v>28463.574663000003</v>
      </c>
      <c r="E34" s="77">
        <f t="shared" si="6"/>
        <v>95215.402255743567</v>
      </c>
      <c r="F34" s="77">
        <f t="shared" si="5"/>
        <v>123678.97691874357</v>
      </c>
      <c r="G34" s="77">
        <f t="shared" si="3"/>
        <v>3808360.5515271141</v>
      </c>
    </row>
    <row r="35" spans="1:9">
      <c r="A35" s="76"/>
      <c r="B35" s="76" t="s">
        <v>77</v>
      </c>
      <c r="C35" s="77">
        <f t="shared" si="4"/>
        <v>3808360.5515271141</v>
      </c>
      <c r="D35" s="77">
        <f t="shared" si="0"/>
        <v>27769.295688218539</v>
      </c>
      <c r="E35" s="77">
        <f t="shared" si="6"/>
        <v>95909.681230525035</v>
      </c>
      <c r="F35" s="77">
        <f t="shared" si="5"/>
        <v>123678.97691874357</v>
      </c>
      <c r="G35" s="77">
        <f t="shared" si="3"/>
        <v>3712450.8702965891</v>
      </c>
    </row>
    <row r="36" spans="1:9">
      <c r="A36" s="76"/>
      <c r="B36" s="76" t="s">
        <v>78</v>
      </c>
      <c r="C36" s="77">
        <f t="shared" si="4"/>
        <v>3712450.8702965891</v>
      </c>
      <c r="D36" s="77">
        <f t="shared" si="0"/>
        <v>27069.954262579293</v>
      </c>
      <c r="E36" s="77">
        <f t="shared" si="6"/>
        <v>96609.022656164278</v>
      </c>
      <c r="F36" s="77">
        <f t="shared" si="5"/>
        <v>123678.97691874357</v>
      </c>
      <c r="G36" s="77">
        <f t="shared" si="3"/>
        <v>3615841.847640425</v>
      </c>
    </row>
    <row r="37" spans="1:9">
      <c r="A37" s="76"/>
      <c r="B37" s="76" t="s">
        <v>79</v>
      </c>
      <c r="C37" s="77">
        <f t="shared" si="4"/>
        <v>3615841.847640425</v>
      </c>
      <c r="D37" s="77">
        <f t="shared" si="0"/>
        <v>26365.513472378098</v>
      </c>
      <c r="E37" s="77">
        <f t="shared" si="6"/>
        <v>97313.46344636548</v>
      </c>
      <c r="F37" s="77">
        <f t="shared" si="5"/>
        <v>123678.97691874357</v>
      </c>
      <c r="G37" s="77">
        <f t="shared" si="3"/>
        <v>3518528.3841940593</v>
      </c>
    </row>
    <row r="38" spans="1:9">
      <c r="A38" s="76"/>
      <c r="B38" s="76" t="s">
        <v>80</v>
      </c>
      <c r="C38" s="77">
        <f t="shared" si="4"/>
        <v>3518528.3841940593</v>
      </c>
      <c r="D38" s="77">
        <f t="shared" si="0"/>
        <v>25655.936134748346</v>
      </c>
      <c r="E38" s="77">
        <f t="shared" si="6"/>
        <v>98023.040783995224</v>
      </c>
      <c r="F38" s="77">
        <f t="shared" si="5"/>
        <v>123678.97691874357</v>
      </c>
      <c r="G38" s="77">
        <f t="shared" si="3"/>
        <v>3420505.343410064</v>
      </c>
    </row>
    <row r="39" spans="1:9">
      <c r="A39" s="76"/>
      <c r="B39" s="76" t="s">
        <v>81</v>
      </c>
      <c r="C39" s="77">
        <f t="shared" si="4"/>
        <v>3420505.343410064</v>
      </c>
      <c r="D39" s="77">
        <f t="shared" si="0"/>
        <v>24941.184795698384</v>
      </c>
      <c r="E39" s="77">
        <f t="shared" si="6"/>
        <v>98737.79212304519</v>
      </c>
      <c r="F39" s="77">
        <f t="shared" si="5"/>
        <v>123678.97691874357</v>
      </c>
      <c r="G39" s="77">
        <f t="shared" si="3"/>
        <v>3321767.5512870187</v>
      </c>
    </row>
    <row r="40" spans="1:9">
      <c r="A40" s="76"/>
      <c r="B40" s="76" t="s">
        <v>82</v>
      </c>
      <c r="C40" s="77">
        <f t="shared" si="4"/>
        <v>3321767.5512870187</v>
      </c>
      <c r="D40" s="77">
        <f t="shared" si="0"/>
        <v>24221.221728134507</v>
      </c>
      <c r="E40" s="77">
        <f t="shared" si="6"/>
        <v>99457.755190609067</v>
      </c>
      <c r="F40" s="77">
        <f t="shared" si="5"/>
        <v>123678.97691874357</v>
      </c>
      <c r="G40" s="77">
        <f t="shared" si="3"/>
        <v>3222309.7960964097</v>
      </c>
    </row>
    <row r="41" spans="1:9">
      <c r="A41" s="76"/>
      <c r="B41" s="76" t="s">
        <v>83</v>
      </c>
      <c r="C41" s="77">
        <f t="shared" si="4"/>
        <v>3222309.7960964097</v>
      </c>
      <c r="D41" s="77">
        <f t="shared" si="0"/>
        <v>23496.008929869651</v>
      </c>
      <c r="E41" s="77">
        <f t="shared" si="6"/>
        <v>100182.96798887392</v>
      </c>
      <c r="F41" s="77">
        <f t="shared" si="5"/>
        <v>123678.97691874357</v>
      </c>
      <c r="G41" s="77">
        <f t="shared" si="3"/>
        <v>3122126.8281075358</v>
      </c>
    </row>
    <row r="42" spans="1:9">
      <c r="A42" s="76"/>
      <c r="B42" s="76" t="s">
        <v>84</v>
      </c>
      <c r="C42" s="77">
        <f t="shared" si="4"/>
        <v>3122126.8281075358</v>
      </c>
      <c r="D42" s="77">
        <f t="shared" ref="D42:D73" si="7">C42*$D$5/12</f>
        <v>22765.508121617448</v>
      </c>
      <c r="E42" s="77">
        <f t="shared" si="6"/>
        <v>100913.46879712613</v>
      </c>
      <c r="F42" s="77">
        <f t="shared" si="5"/>
        <v>123678.97691874357</v>
      </c>
      <c r="G42" s="77">
        <f t="shared" si="3"/>
        <v>3021213.3593104095</v>
      </c>
    </row>
    <row r="43" spans="1:9">
      <c r="A43" s="76"/>
      <c r="B43" s="76" t="s">
        <v>85</v>
      </c>
      <c r="C43" s="77">
        <f t="shared" si="4"/>
        <v>3021213.3593104095</v>
      </c>
      <c r="D43" s="77">
        <f t="shared" si="7"/>
        <v>22029.680744971734</v>
      </c>
      <c r="E43" s="77">
        <f t="shared" si="6"/>
        <v>101649.29617377184</v>
      </c>
      <c r="F43" s="77">
        <f t="shared" si="5"/>
        <v>123678.97691874357</v>
      </c>
      <c r="G43" s="77">
        <f t="shared" si="3"/>
        <v>2919564.0631366377</v>
      </c>
    </row>
    <row r="44" spans="1:9">
      <c r="A44" s="76"/>
      <c r="B44" s="76" t="s">
        <v>86</v>
      </c>
      <c r="C44" s="77">
        <f t="shared" si="4"/>
        <v>2919564.0631366377</v>
      </c>
      <c r="D44" s="77">
        <f t="shared" si="7"/>
        <v>21288.487960371316</v>
      </c>
      <c r="E44" s="77">
        <f t="shared" si="6"/>
        <v>102390.48895837225</v>
      </c>
      <c r="F44" s="77">
        <f t="shared" si="5"/>
        <v>123678.97691874357</v>
      </c>
      <c r="G44" s="77">
        <f t="shared" si="3"/>
        <v>2817173.5741782654</v>
      </c>
    </row>
    <row r="45" spans="1:9">
      <c r="A45" s="76"/>
      <c r="B45" s="76" t="s">
        <v>87</v>
      </c>
      <c r="C45" s="77">
        <f t="shared" si="4"/>
        <v>2817173.5741782654</v>
      </c>
      <c r="D45" s="77">
        <f t="shared" si="7"/>
        <v>20541.890645049851</v>
      </c>
      <c r="E45" s="77">
        <f t="shared" si="6"/>
        <v>103137.08627369373</v>
      </c>
      <c r="F45" s="77">
        <f t="shared" si="5"/>
        <v>123678.97691874357</v>
      </c>
      <c r="G45" s="426">
        <f t="shared" si="3"/>
        <v>2714036.4879045715</v>
      </c>
      <c r="H45" s="1"/>
      <c r="I45" s="1"/>
    </row>
    <row r="46" spans="1:9">
      <c r="A46" s="76" t="s">
        <v>14</v>
      </c>
      <c r="B46" s="76" t="s">
        <v>88</v>
      </c>
      <c r="C46" s="77">
        <f t="shared" si="4"/>
        <v>2714036.4879045715</v>
      </c>
      <c r="D46" s="77">
        <f t="shared" si="7"/>
        <v>19789.84939097083</v>
      </c>
      <c r="E46" s="77">
        <f t="shared" si="6"/>
        <v>103889.12752777274</v>
      </c>
      <c r="F46" s="77">
        <f t="shared" si="5"/>
        <v>123678.97691874357</v>
      </c>
      <c r="G46" s="77">
        <f t="shared" si="3"/>
        <v>2610147.3603767985</v>
      </c>
    </row>
    <row r="47" spans="1:9">
      <c r="A47" s="76"/>
      <c r="B47" s="76" t="s">
        <v>89</v>
      </c>
      <c r="C47" s="77">
        <f t="shared" si="4"/>
        <v>2610147.3603767985</v>
      </c>
      <c r="D47" s="77">
        <f t="shared" si="7"/>
        <v>19032.324502747488</v>
      </c>
      <c r="E47" s="77">
        <f t="shared" si="6"/>
        <v>104646.65241599608</v>
      </c>
      <c r="F47" s="77">
        <f t="shared" si="5"/>
        <v>123678.97691874357</v>
      </c>
      <c r="G47" s="77">
        <f t="shared" si="3"/>
        <v>2505500.7079608026</v>
      </c>
    </row>
    <row r="48" spans="1:9">
      <c r="A48" s="76"/>
      <c r="B48" s="76" t="s">
        <v>90</v>
      </c>
      <c r="C48" s="77">
        <f t="shared" si="4"/>
        <v>2505500.7079608026</v>
      </c>
      <c r="D48" s="77">
        <f t="shared" si="7"/>
        <v>18269.275995547516</v>
      </c>
      <c r="E48" s="77">
        <f t="shared" si="6"/>
        <v>105409.70092319605</v>
      </c>
      <c r="F48" s="77">
        <f t="shared" si="5"/>
        <v>123678.97691874357</v>
      </c>
      <c r="G48" s="77">
        <f t="shared" si="3"/>
        <v>2400091.0070376066</v>
      </c>
    </row>
    <row r="49" spans="1:9">
      <c r="A49" s="76"/>
      <c r="B49" s="76" t="s">
        <v>91</v>
      </c>
      <c r="C49" s="77">
        <f t="shared" si="4"/>
        <v>2400091.0070376066</v>
      </c>
      <c r="D49" s="77">
        <f t="shared" si="7"/>
        <v>17500.663592982546</v>
      </c>
      <c r="E49" s="77">
        <f t="shared" si="6"/>
        <v>106178.31332576103</v>
      </c>
      <c r="F49" s="77">
        <f t="shared" si="5"/>
        <v>123678.97691874357</v>
      </c>
      <c r="G49" s="77">
        <f t="shared" si="3"/>
        <v>2293912.6937118457</v>
      </c>
    </row>
    <row r="50" spans="1:9">
      <c r="A50" s="76"/>
      <c r="B50" s="76" t="s">
        <v>92</v>
      </c>
      <c r="C50" s="77">
        <f t="shared" si="4"/>
        <v>2293912.6937118457</v>
      </c>
      <c r="D50" s="77">
        <f t="shared" si="7"/>
        <v>16726.446724982208</v>
      </c>
      <c r="E50" s="77">
        <f t="shared" si="6"/>
        <v>106952.53019376137</v>
      </c>
      <c r="F50" s="77">
        <f t="shared" si="5"/>
        <v>123678.97691874357</v>
      </c>
      <c r="G50" s="77">
        <f t="shared" si="3"/>
        <v>2186960.1635180842</v>
      </c>
    </row>
    <row r="51" spans="1:9">
      <c r="A51" s="76"/>
      <c r="B51" s="76" t="s">
        <v>93</v>
      </c>
      <c r="C51" s="77">
        <f t="shared" si="4"/>
        <v>2186960.1635180842</v>
      </c>
      <c r="D51" s="77">
        <f t="shared" si="7"/>
        <v>15946.584525652695</v>
      </c>
      <c r="E51" s="77">
        <f t="shared" si="6"/>
        <v>107732.39239309088</v>
      </c>
      <c r="F51" s="77">
        <f t="shared" si="5"/>
        <v>123678.97691874357</v>
      </c>
      <c r="G51" s="77">
        <f t="shared" si="3"/>
        <v>2079227.7711249935</v>
      </c>
    </row>
    <row r="52" spans="1:9">
      <c r="A52" s="76"/>
      <c r="B52" s="76" t="s">
        <v>94</v>
      </c>
      <c r="C52" s="77">
        <f t="shared" si="4"/>
        <v>2079227.7711249935</v>
      </c>
      <c r="D52" s="77">
        <f t="shared" si="7"/>
        <v>15161.035831119743</v>
      </c>
      <c r="E52" s="77">
        <f t="shared" si="6"/>
        <v>108517.94108762383</v>
      </c>
      <c r="F52" s="77">
        <f t="shared" si="5"/>
        <v>123678.97691874357</v>
      </c>
      <c r="G52" s="77">
        <f t="shared" si="3"/>
        <v>1970709.8300373696</v>
      </c>
    </row>
    <row r="53" spans="1:9">
      <c r="A53" s="76"/>
      <c r="B53" s="76" t="s">
        <v>95</v>
      </c>
      <c r="C53" s="77">
        <f t="shared" si="4"/>
        <v>1970709.8300373696</v>
      </c>
      <c r="D53" s="77">
        <f t="shared" si="7"/>
        <v>14369.759177355818</v>
      </c>
      <c r="E53" s="77">
        <f t="shared" si="6"/>
        <v>109309.21774138775</v>
      </c>
      <c r="F53" s="77">
        <f t="shared" si="5"/>
        <v>123678.97691874357</v>
      </c>
      <c r="G53" s="77">
        <f t="shared" si="3"/>
        <v>1861400.612295982</v>
      </c>
    </row>
    <row r="54" spans="1:9">
      <c r="A54" s="76"/>
      <c r="B54" s="76" t="s">
        <v>96</v>
      </c>
      <c r="C54" s="77">
        <f t="shared" si="4"/>
        <v>1861400.612295982</v>
      </c>
      <c r="D54" s="77">
        <f t="shared" si="7"/>
        <v>13572.712797991533</v>
      </c>
      <c r="E54" s="77">
        <f t="shared" si="6"/>
        <v>110106.26412075204</v>
      </c>
      <c r="F54" s="77">
        <f t="shared" si="5"/>
        <v>123678.97691874357</v>
      </c>
      <c r="G54" s="77">
        <f t="shared" si="3"/>
        <v>1751294.34817523</v>
      </c>
    </row>
    <row r="55" spans="1:9">
      <c r="A55" s="76"/>
      <c r="B55" s="76" t="s">
        <v>97</v>
      </c>
      <c r="C55" s="77">
        <f t="shared" si="4"/>
        <v>1751294.34817523</v>
      </c>
      <c r="D55" s="77">
        <f t="shared" si="7"/>
        <v>12769.854622111052</v>
      </c>
      <c r="E55" s="77">
        <f t="shared" si="6"/>
        <v>110909.12229663253</v>
      </c>
      <c r="F55" s="77">
        <f t="shared" si="5"/>
        <v>123678.97691874357</v>
      </c>
      <c r="G55" s="77">
        <f t="shared" si="3"/>
        <v>1640385.2258785975</v>
      </c>
    </row>
    <row r="56" spans="1:9">
      <c r="A56" s="76"/>
      <c r="B56" s="76" t="s">
        <v>98</v>
      </c>
      <c r="C56" s="77">
        <f t="shared" si="4"/>
        <v>1640385.2258785975</v>
      </c>
      <c r="D56" s="77">
        <f t="shared" si="7"/>
        <v>11961.142272031439</v>
      </c>
      <c r="E56" s="77">
        <f t="shared" si="6"/>
        <v>111717.83464671213</v>
      </c>
      <c r="F56" s="77">
        <f t="shared" si="5"/>
        <v>123678.97691874357</v>
      </c>
      <c r="G56" s="77">
        <f t="shared" si="3"/>
        <v>1528667.3912318854</v>
      </c>
    </row>
    <row r="57" spans="1:9">
      <c r="A57" s="76"/>
      <c r="B57" s="76" t="s">
        <v>99</v>
      </c>
      <c r="C57" s="77">
        <f t="shared" si="4"/>
        <v>1528667.3912318854</v>
      </c>
      <c r="D57" s="77">
        <f t="shared" si="7"/>
        <v>11146.533061065829</v>
      </c>
      <c r="E57" s="77">
        <f t="shared" si="6"/>
        <v>112532.44385767775</v>
      </c>
      <c r="F57" s="77">
        <f t="shared" si="5"/>
        <v>123678.97691874357</v>
      </c>
      <c r="G57" s="426">
        <f t="shared" si="3"/>
        <v>1416134.9473742077</v>
      </c>
      <c r="H57" s="1"/>
      <c r="I57" s="1"/>
    </row>
    <row r="58" spans="1:9">
      <c r="A58" s="76" t="s">
        <v>15</v>
      </c>
      <c r="B58" s="76" t="s">
        <v>100</v>
      </c>
      <c r="C58" s="77">
        <f t="shared" si="4"/>
        <v>1416134.9473742077</v>
      </c>
      <c r="D58" s="77">
        <f t="shared" si="7"/>
        <v>10325.983991270265</v>
      </c>
      <c r="E58" s="77">
        <f t="shared" si="6"/>
        <v>113352.99292747331</v>
      </c>
      <c r="F58" s="77">
        <f t="shared" si="5"/>
        <v>123678.97691874357</v>
      </c>
      <c r="G58" s="77">
        <f t="shared" si="3"/>
        <v>1302781.9544467344</v>
      </c>
    </row>
    <row r="59" spans="1:9">
      <c r="A59" s="76"/>
      <c r="B59" s="76" t="s">
        <v>101</v>
      </c>
      <c r="C59" s="77">
        <f t="shared" si="4"/>
        <v>1302781.9544467344</v>
      </c>
      <c r="D59" s="77">
        <f t="shared" si="7"/>
        <v>9499.4517511741051</v>
      </c>
      <c r="E59" s="77">
        <f t="shared" si="6"/>
        <v>114179.52516756947</v>
      </c>
      <c r="F59" s="77">
        <f t="shared" si="5"/>
        <v>123678.97691874357</v>
      </c>
      <c r="G59" s="77">
        <f t="shared" si="3"/>
        <v>1188602.4292791649</v>
      </c>
    </row>
    <row r="60" spans="1:9">
      <c r="A60" s="76"/>
      <c r="B60" s="76" t="s">
        <v>102</v>
      </c>
      <c r="C60" s="77">
        <f t="shared" si="4"/>
        <v>1188602.4292791649</v>
      </c>
      <c r="D60" s="77">
        <f t="shared" si="7"/>
        <v>8666.8927134939095</v>
      </c>
      <c r="E60" s="77">
        <f t="shared" si="6"/>
        <v>115012.08420524966</v>
      </c>
      <c r="F60" s="77">
        <f t="shared" si="5"/>
        <v>123678.97691874357</v>
      </c>
      <c r="G60" s="77">
        <f t="shared" si="3"/>
        <v>1073590.3450739153</v>
      </c>
    </row>
    <row r="61" spans="1:9">
      <c r="A61" s="76"/>
      <c r="B61" s="76" t="s">
        <v>103</v>
      </c>
      <c r="C61" s="77">
        <f t="shared" si="4"/>
        <v>1073590.3450739153</v>
      </c>
      <c r="D61" s="77">
        <f t="shared" si="7"/>
        <v>7828.2629328306321</v>
      </c>
      <c r="E61" s="77">
        <f t="shared" si="6"/>
        <v>115850.71398591294</v>
      </c>
      <c r="F61" s="77">
        <f t="shared" si="5"/>
        <v>123678.97691874357</v>
      </c>
      <c r="G61" s="77">
        <f t="shared" si="3"/>
        <v>957739.63108800235</v>
      </c>
    </row>
    <row r="62" spans="1:9">
      <c r="A62" s="76"/>
      <c r="B62" s="76" t="s">
        <v>104</v>
      </c>
      <c r="C62" s="77">
        <f t="shared" si="4"/>
        <v>957739.63108800235</v>
      </c>
      <c r="D62" s="77">
        <f t="shared" si="7"/>
        <v>6983.5181433500175</v>
      </c>
      <c r="E62" s="77">
        <f t="shared" si="6"/>
        <v>116695.45877539356</v>
      </c>
      <c r="F62" s="77">
        <f t="shared" si="5"/>
        <v>123678.97691874357</v>
      </c>
      <c r="G62" s="77">
        <f t="shared" si="3"/>
        <v>841044.1723126088</v>
      </c>
    </row>
    <row r="63" spans="1:9">
      <c r="A63" s="76"/>
      <c r="B63" s="76" t="s">
        <v>105</v>
      </c>
      <c r="C63" s="77">
        <f t="shared" si="4"/>
        <v>841044.1723126088</v>
      </c>
      <c r="D63" s="77">
        <f t="shared" si="7"/>
        <v>6132.613756446106</v>
      </c>
      <c r="E63" s="77">
        <f t="shared" si="6"/>
        <v>117546.36316229746</v>
      </c>
      <c r="F63" s="77">
        <f t="shared" si="5"/>
        <v>123678.97691874357</v>
      </c>
      <c r="G63" s="77">
        <f t="shared" si="3"/>
        <v>723497.8091503114</v>
      </c>
    </row>
    <row r="64" spans="1:9">
      <c r="A64" s="76"/>
      <c r="B64" s="76" t="s">
        <v>106</v>
      </c>
      <c r="C64" s="77">
        <f t="shared" si="4"/>
        <v>723497.8091503114</v>
      </c>
      <c r="D64" s="77">
        <f t="shared" si="7"/>
        <v>5275.5048583876869</v>
      </c>
      <c r="E64" s="77">
        <f t="shared" si="6"/>
        <v>118403.47206035588</v>
      </c>
      <c r="F64" s="77">
        <f t="shared" si="5"/>
        <v>123678.97691874357</v>
      </c>
      <c r="G64" s="77">
        <f t="shared" si="3"/>
        <v>605094.33708995557</v>
      </c>
    </row>
    <row r="65" spans="1:9">
      <c r="A65" s="76"/>
      <c r="B65" s="76" t="s">
        <v>107</v>
      </c>
      <c r="C65" s="77">
        <f t="shared" si="4"/>
        <v>605094.33708995557</v>
      </c>
      <c r="D65" s="77">
        <f t="shared" si="7"/>
        <v>4412.1462079475923</v>
      </c>
      <c r="E65" s="77">
        <f t="shared" si="6"/>
        <v>119266.83071079598</v>
      </c>
      <c r="F65" s="77">
        <f t="shared" si="5"/>
        <v>123678.97691874357</v>
      </c>
      <c r="G65" s="77">
        <f t="shared" si="3"/>
        <v>485827.50637915957</v>
      </c>
    </row>
    <row r="66" spans="1:9">
      <c r="A66" s="76"/>
      <c r="B66" s="76" t="s">
        <v>108</v>
      </c>
      <c r="C66" s="77">
        <f t="shared" si="4"/>
        <v>485827.50637915957</v>
      </c>
      <c r="D66" s="77">
        <f t="shared" si="7"/>
        <v>3542.4922340147054</v>
      </c>
      <c r="E66" s="77">
        <f t="shared" si="6"/>
        <v>120136.48468472887</v>
      </c>
      <c r="F66" s="77">
        <f t="shared" si="5"/>
        <v>123678.97691874357</v>
      </c>
      <c r="G66" s="77">
        <f t="shared" si="3"/>
        <v>365691.02169443073</v>
      </c>
    </row>
    <row r="67" spans="1:9">
      <c r="A67" s="76"/>
      <c r="B67" s="76" t="s">
        <v>109</v>
      </c>
      <c r="C67" s="77">
        <f t="shared" si="4"/>
        <v>365691.02169443073</v>
      </c>
      <c r="D67" s="77">
        <f t="shared" si="7"/>
        <v>2666.4970331885575</v>
      </c>
      <c r="E67" s="77">
        <f t="shared" si="6"/>
        <v>121012.47988555502</v>
      </c>
      <c r="F67" s="77">
        <f t="shared" si="5"/>
        <v>123678.97691874357</v>
      </c>
      <c r="G67" s="77">
        <f t="shared" si="3"/>
        <v>244678.54180887571</v>
      </c>
    </row>
    <row r="68" spans="1:9">
      <c r="A68" s="76"/>
      <c r="B68" s="76" t="s">
        <v>110</v>
      </c>
      <c r="C68" s="77">
        <f t="shared" si="4"/>
        <v>244678.54180887571</v>
      </c>
      <c r="D68" s="77">
        <f t="shared" si="7"/>
        <v>1784.1143673563854</v>
      </c>
      <c r="E68" s="77">
        <f t="shared" si="6"/>
        <v>121894.8625513872</v>
      </c>
      <c r="F68" s="77">
        <f t="shared" si="5"/>
        <v>123678.97691874357</v>
      </c>
      <c r="G68" s="77">
        <f t="shared" si="3"/>
        <v>122783.67925748852</v>
      </c>
    </row>
    <row r="69" spans="1:9">
      <c r="A69" s="76"/>
      <c r="B69" s="76" t="s">
        <v>111</v>
      </c>
      <c r="C69" s="77">
        <f t="shared" si="4"/>
        <v>122783.67925748852</v>
      </c>
      <c r="D69" s="77">
        <f t="shared" si="7"/>
        <v>895.29766125252036</v>
      </c>
      <c r="E69" s="77">
        <f t="shared" si="6"/>
        <v>122783.67925749105</v>
      </c>
      <c r="F69" s="77">
        <f t="shared" si="5"/>
        <v>123678.97691874357</v>
      </c>
      <c r="G69" s="426">
        <f t="shared" si="3"/>
        <v>-2.5320332497358322E-9</v>
      </c>
      <c r="H69" s="1"/>
      <c r="I69" s="1"/>
    </row>
    <row r="70" spans="1:9">
      <c r="A70" s="76" t="s">
        <v>16</v>
      </c>
      <c r="B70" s="76" t="s">
        <v>112</v>
      </c>
      <c r="C70" s="77">
        <f t="shared" si="4"/>
        <v>-2.5320332497358322E-9</v>
      </c>
      <c r="D70" s="77">
        <f t="shared" si="7"/>
        <v>-1.8462742445990444E-11</v>
      </c>
      <c r="E70" s="77">
        <f t="shared" si="6"/>
        <v>1.8462742445990444E-11</v>
      </c>
      <c r="F70" s="77">
        <v>0</v>
      </c>
      <c r="G70" s="77">
        <f t="shared" si="3"/>
        <v>-2.5504959921818228E-9</v>
      </c>
    </row>
    <row r="71" spans="1:9">
      <c r="A71" s="76"/>
      <c r="B71" s="76" t="s">
        <v>113</v>
      </c>
      <c r="C71" s="77">
        <f t="shared" si="4"/>
        <v>-2.5504959921818228E-9</v>
      </c>
      <c r="D71" s="77">
        <f t="shared" si="7"/>
        <v>-1.8597366609659125E-11</v>
      </c>
      <c r="E71" s="77">
        <f t="shared" si="6"/>
        <v>1.8597366609659125E-11</v>
      </c>
      <c r="F71" s="77">
        <v>0</v>
      </c>
      <c r="G71" s="77">
        <f t="shared" si="3"/>
        <v>-2.569093358791482E-9</v>
      </c>
    </row>
    <row r="72" spans="1:9">
      <c r="A72" s="76"/>
      <c r="B72" s="76" t="s">
        <v>114</v>
      </c>
      <c r="C72" s="77">
        <f t="shared" si="4"/>
        <v>-2.569093358791482E-9</v>
      </c>
      <c r="D72" s="77">
        <f t="shared" si="7"/>
        <v>-1.8732972407854555E-11</v>
      </c>
      <c r="E72" s="77">
        <f t="shared" si="6"/>
        <v>1.8732972407854555E-11</v>
      </c>
      <c r="F72" s="77">
        <v>0</v>
      </c>
      <c r="G72" s="77">
        <f t="shared" si="3"/>
        <v>-2.5878263311993368E-9</v>
      </c>
    </row>
    <row r="73" spans="1:9">
      <c r="A73" s="76"/>
      <c r="B73" s="76" t="s">
        <v>115</v>
      </c>
      <c r="C73" s="77">
        <f t="shared" si="4"/>
        <v>-2.5878263311993368E-9</v>
      </c>
      <c r="D73" s="77">
        <f t="shared" si="7"/>
        <v>-1.8869566998328495E-11</v>
      </c>
      <c r="E73" s="77">
        <f t="shared" si="6"/>
        <v>1.8869566998328495E-11</v>
      </c>
      <c r="F73" s="77">
        <v>0</v>
      </c>
      <c r="G73" s="77">
        <f t="shared" si="3"/>
        <v>-2.6066958981976653E-9</v>
      </c>
    </row>
    <row r="74" spans="1:9">
      <c r="A74" s="76"/>
      <c r="B74" s="76" t="s">
        <v>116</v>
      </c>
      <c r="C74" s="77">
        <f t="shared" si="4"/>
        <v>-2.6066958981976653E-9</v>
      </c>
      <c r="D74" s="77">
        <f t="shared" ref="D74:D93" si="8">C74*$D$5/12</f>
        <v>-1.9007157591024643E-11</v>
      </c>
      <c r="E74" s="77">
        <f t="shared" si="6"/>
        <v>1.9007157591024643E-11</v>
      </c>
      <c r="F74" s="77">
        <v>0</v>
      </c>
      <c r="G74" s="77">
        <f t="shared" si="3"/>
        <v>-2.62570305578869E-9</v>
      </c>
    </row>
    <row r="75" spans="1:9">
      <c r="A75" s="76"/>
      <c r="B75" s="76" t="s">
        <v>117</v>
      </c>
      <c r="C75" s="77">
        <f t="shared" si="4"/>
        <v>-2.62570305578869E-9</v>
      </c>
      <c r="D75" s="77">
        <f t="shared" si="8"/>
        <v>-1.9145751448459196E-11</v>
      </c>
      <c r="E75" s="77">
        <f t="shared" si="6"/>
        <v>1.9145751448459196E-11</v>
      </c>
      <c r="F75" s="77">
        <v>0</v>
      </c>
      <c r="G75" s="77">
        <f t="shared" ref="G75:G93" si="9">C75-E75</f>
        <v>-2.6448488072371492E-9</v>
      </c>
    </row>
    <row r="76" spans="1:9">
      <c r="A76" s="76"/>
      <c r="B76" s="76" t="s">
        <v>118</v>
      </c>
      <c r="C76" s="77">
        <f t="shared" ref="C76:C93" si="10">G75</f>
        <v>-2.6448488072371492E-9</v>
      </c>
      <c r="D76" s="77">
        <f t="shared" si="8"/>
        <v>-1.9285355886104212E-11</v>
      </c>
      <c r="E76" s="77">
        <f t="shared" si="6"/>
        <v>1.9285355886104212E-11</v>
      </c>
      <c r="F76" s="77">
        <v>0</v>
      </c>
      <c r="G76" s="77">
        <f t="shared" si="9"/>
        <v>-2.6641341631232536E-9</v>
      </c>
    </row>
    <row r="77" spans="1:9">
      <c r="A77" s="76"/>
      <c r="B77" s="76" t="s">
        <v>119</v>
      </c>
      <c r="C77" s="77">
        <f t="shared" si="10"/>
        <v>-2.6641341631232536E-9</v>
      </c>
      <c r="D77" s="77">
        <f t="shared" si="8"/>
        <v>-1.9425978272773724E-11</v>
      </c>
      <c r="E77" s="77">
        <f t="shared" si="6"/>
        <v>1.9425978272773724E-11</v>
      </c>
      <c r="F77" s="77">
        <v>0</v>
      </c>
      <c r="G77" s="77">
        <f t="shared" si="9"/>
        <v>-2.6835601413960273E-9</v>
      </c>
    </row>
    <row r="78" spans="1:9">
      <c r="A78" s="76"/>
      <c r="B78" s="76" t="s">
        <v>120</v>
      </c>
      <c r="C78" s="77">
        <f t="shared" si="10"/>
        <v>-2.6835601413960273E-9</v>
      </c>
      <c r="D78" s="77">
        <f t="shared" si="8"/>
        <v>-1.9567626031012697E-11</v>
      </c>
      <c r="E78" s="77">
        <f t="shared" si="6"/>
        <v>1.9567626031012697E-11</v>
      </c>
      <c r="F78" s="77">
        <v>0</v>
      </c>
      <c r="G78" s="77">
        <f t="shared" si="9"/>
        <v>-2.70312776742704E-9</v>
      </c>
    </row>
    <row r="79" spans="1:9">
      <c r="A79" s="76"/>
      <c r="B79" s="76" t="s">
        <v>121</v>
      </c>
      <c r="C79" s="77">
        <f t="shared" si="10"/>
        <v>-2.70312776742704E-9</v>
      </c>
      <c r="D79" s="77">
        <f t="shared" si="8"/>
        <v>-1.9710306637488835E-11</v>
      </c>
      <c r="E79" s="77">
        <f t="shared" si="6"/>
        <v>1.9710306637488835E-11</v>
      </c>
      <c r="F79" s="77">
        <v>0</v>
      </c>
      <c r="G79" s="77">
        <f t="shared" si="9"/>
        <v>-2.7228380740645289E-9</v>
      </c>
    </row>
    <row r="80" spans="1:9">
      <c r="A80" s="76"/>
      <c r="B80" s="76" t="s">
        <v>122</v>
      </c>
      <c r="C80" s="77">
        <f t="shared" si="10"/>
        <v>-2.7228380740645289E-9</v>
      </c>
      <c r="D80" s="77">
        <f t="shared" si="8"/>
        <v>-1.9854027623387187E-11</v>
      </c>
      <c r="E80" s="77">
        <f t="shared" si="6"/>
        <v>1.9854027623387187E-11</v>
      </c>
      <c r="F80" s="77">
        <v>0</v>
      </c>
      <c r="G80" s="77">
        <f t="shared" si="9"/>
        <v>-2.7426921016879162E-9</v>
      </c>
    </row>
    <row r="81" spans="1:9">
      <c r="A81" s="76"/>
      <c r="B81" s="76" t="s">
        <v>123</v>
      </c>
      <c r="C81" s="77">
        <f t="shared" si="10"/>
        <v>-2.7426921016879162E-9</v>
      </c>
      <c r="D81" s="77">
        <f t="shared" si="8"/>
        <v>-1.9998796574807719E-11</v>
      </c>
      <c r="E81" s="77">
        <f t="shared" ref="E81:E93" si="11">F81-D81</f>
        <v>1.9998796574807719E-11</v>
      </c>
      <c r="F81" s="77">
        <v>0</v>
      </c>
      <c r="G81" s="426">
        <f t="shared" si="9"/>
        <v>-2.7626908982627238E-9</v>
      </c>
      <c r="H81" s="1"/>
      <c r="I81" s="1"/>
    </row>
    <row r="82" spans="1:9">
      <c r="A82" s="76" t="s">
        <v>272</v>
      </c>
      <c r="B82" s="76" t="s">
        <v>208</v>
      </c>
      <c r="C82" s="77">
        <f t="shared" si="10"/>
        <v>-2.7626908982627238E-9</v>
      </c>
      <c r="D82" s="77">
        <f t="shared" si="8"/>
        <v>-2.0144621133165693E-11</v>
      </c>
      <c r="E82" s="77">
        <f t="shared" si="11"/>
        <v>2.0144621133165693E-11</v>
      </c>
      <c r="F82" s="77">
        <v>0</v>
      </c>
      <c r="G82" s="77">
        <f t="shared" si="9"/>
        <v>-2.7828355193958895E-9</v>
      </c>
    </row>
    <row r="83" spans="1:9">
      <c r="A83" s="76"/>
      <c r="B83" s="76" t="s">
        <v>209</v>
      </c>
      <c r="C83" s="77">
        <f t="shared" si="10"/>
        <v>-2.7828355193958895E-9</v>
      </c>
      <c r="D83" s="77">
        <f t="shared" si="8"/>
        <v>-2.0291508995595028E-11</v>
      </c>
      <c r="E83" s="77">
        <f t="shared" si="11"/>
        <v>2.0291508995595028E-11</v>
      </c>
      <c r="F83" s="77">
        <v>0</v>
      </c>
      <c r="G83" s="77">
        <f t="shared" si="9"/>
        <v>-2.8031270283914847E-9</v>
      </c>
    </row>
    <row r="84" spans="1:9">
      <c r="A84" s="76"/>
      <c r="B84" s="76" t="s">
        <v>210</v>
      </c>
      <c r="C84" s="77">
        <f t="shared" si="10"/>
        <v>-2.8031270283914847E-9</v>
      </c>
      <c r="D84" s="77">
        <f t="shared" si="8"/>
        <v>-2.0439467915354572E-11</v>
      </c>
      <c r="E84" s="77">
        <f t="shared" si="11"/>
        <v>2.0439467915354572E-11</v>
      </c>
      <c r="F84" s="77">
        <v>0</v>
      </c>
      <c r="G84" s="77">
        <f t="shared" si="9"/>
        <v>-2.8235664963068393E-9</v>
      </c>
    </row>
    <row r="85" spans="1:9">
      <c r="A85" s="76"/>
      <c r="B85" s="76" t="s">
        <v>211</v>
      </c>
      <c r="C85" s="77">
        <f t="shared" si="10"/>
        <v>-2.8235664963068393E-9</v>
      </c>
      <c r="D85" s="77">
        <f t="shared" si="8"/>
        <v>-2.0588505702237369E-11</v>
      </c>
      <c r="E85" s="77">
        <f t="shared" si="11"/>
        <v>2.0588505702237369E-11</v>
      </c>
      <c r="F85" s="77">
        <v>0</v>
      </c>
      <c r="G85" s="77">
        <f t="shared" si="9"/>
        <v>-2.8441550020090768E-9</v>
      </c>
    </row>
    <row r="86" spans="1:9">
      <c r="A86" s="76"/>
      <c r="B86" s="76" t="s">
        <v>212</v>
      </c>
      <c r="C86" s="77">
        <f t="shared" si="10"/>
        <v>-2.8441550020090768E-9</v>
      </c>
      <c r="D86" s="77">
        <f t="shared" si="8"/>
        <v>-2.073863022298285E-11</v>
      </c>
      <c r="E86" s="77">
        <f t="shared" si="11"/>
        <v>2.073863022298285E-11</v>
      </c>
      <c r="F86" s="77">
        <v>0</v>
      </c>
      <c r="G86" s="77">
        <f t="shared" si="9"/>
        <v>-2.8648936322320599E-9</v>
      </c>
    </row>
    <row r="87" spans="1:9">
      <c r="A87" s="76"/>
      <c r="B87" s="76" t="s">
        <v>213</v>
      </c>
      <c r="C87" s="77">
        <f t="shared" si="10"/>
        <v>-2.8648936322320599E-9</v>
      </c>
      <c r="D87" s="77">
        <f t="shared" si="8"/>
        <v>-2.0889849401692103E-11</v>
      </c>
      <c r="E87" s="77">
        <f t="shared" si="11"/>
        <v>2.0889849401692103E-11</v>
      </c>
      <c r="F87" s="77">
        <v>0</v>
      </c>
      <c r="G87" s="77">
        <f t="shared" si="9"/>
        <v>-2.8857834816337522E-9</v>
      </c>
    </row>
    <row r="88" spans="1:9">
      <c r="A88" s="76"/>
      <c r="B88" s="76" t="s">
        <v>214</v>
      </c>
      <c r="C88" s="77">
        <f t="shared" si="10"/>
        <v>-2.8857834816337522E-9</v>
      </c>
      <c r="D88" s="77">
        <f t="shared" si="8"/>
        <v>-2.1042171220246107E-11</v>
      </c>
      <c r="E88" s="77">
        <f t="shared" si="11"/>
        <v>2.1042171220246107E-11</v>
      </c>
      <c r="F88" s="77">
        <v>0</v>
      </c>
      <c r="G88" s="77">
        <f t="shared" si="9"/>
        <v>-2.9068256528539984E-9</v>
      </c>
    </row>
    <row r="89" spans="1:9">
      <c r="A89" s="76"/>
      <c r="B89" s="76" t="s">
        <v>215</v>
      </c>
      <c r="C89" s="77">
        <f t="shared" si="10"/>
        <v>-2.9068256528539984E-9</v>
      </c>
      <c r="D89" s="77">
        <f t="shared" si="8"/>
        <v>-2.1195603718727069E-11</v>
      </c>
      <c r="E89" s="77">
        <f t="shared" si="11"/>
        <v>2.1195603718727069E-11</v>
      </c>
      <c r="F89" s="77">
        <v>0</v>
      </c>
      <c r="G89" s="77">
        <f t="shared" si="9"/>
        <v>-2.9280212565727254E-9</v>
      </c>
    </row>
    <row r="90" spans="1:9">
      <c r="A90" s="76"/>
      <c r="B90" s="76" t="s">
        <v>216</v>
      </c>
      <c r="C90" s="77">
        <f t="shared" si="10"/>
        <v>-2.9280212565727254E-9</v>
      </c>
      <c r="D90" s="77">
        <f t="shared" si="8"/>
        <v>-2.1350154995842789E-11</v>
      </c>
      <c r="E90" s="77">
        <f t="shared" si="11"/>
        <v>2.1350154995842789E-11</v>
      </c>
      <c r="F90" s="77">
        <v>0</v>
      </c>
      <c r="G90" s="77">
        <f t="shared" si="9"/>
        <v>-2.9493714115685681E-9</v>
      </c>
    </row>
    <row r="91" spans="1:9">
      <c r="A91" s="76"/>
      <c r="B91" s="76" t="s">
        <v>217</v>
      </c>
      <c r="C91" s="77">
        <f t="shared" si="10"/>
        <v>-2.9493714115685681E-9</v>
      </c>
      <c r="D91" s="77">
        <f t="shared" si="8"/>
        <v>-2.150583320935414E-11</v>
      </c>
      <c r="E91" s="77">
        <f t="shared" si="11"/>
        <v>2.150583320935414E-11</v>
      </c>
      <c r="F91" s="77">
        <v>0</v>
      </c>
      <c r="G91" s="77">
        <f t="shared" si="9"/>
        <v>-2.9708772447779223E-9</v>
      </c>
    </row>
    <row r="92" spans="1:9">
      <c r="A92" s="76"/>
      <c r="B92" s="76" t="s">
        <v>218</v>
      </c>
      <c r="C92" s="77">
        <f t="shared" si="10"/>
        <v>-2.9708772447779223E-9</v>
      </c>
      <c r="D92" s="77">
        <f t="shared" si="8"/>
        <v>-2.1662646576505682E-11</v>
      </c>
      <c r="E92" s="77">
        <f t="shared" si="11"/>
        <v>2.1662646576505682E-11</v>
      </c>
      <c r="F92" s="77">
        <v>0</v>
      </c>
      <c r="G92" s="77">
        <f t="shared" si="9"/>
        <v>-2.9925398913544278E-9</v>
      </c>
    </row>
    <row r="93" spans="1:9">
      <c r="A93" s="76"/>
      <c r="B93" s="76" t="s">
        <v>219</v>
      </c>
      <c r="C93" s="77">
        <f t="shared" si="10"/>
        <v>-2.9925398913544278E-9</v>
      </c>
      <c r="D93" s="77">
        <f t="shared" si="8"/>
        <v>-2.1820603374459368E-11</v>
      </c>
      <c r="E93" s="77">
        <f t="shared" si="11"/>
        <v>2.1820603374459368E-11</v>
      </c>
      <c r="F93" s="77">
        <v>0</v>
      </c>
      <c r="G93" s="426">
        <f t="shared" si="9"/>
        <v>-3.0143604947288872E-9</v>
      </c>
    </row>
    <row r="94" spans="1:9">
      <c r="A94" s="75"/>
      <c r="B94" s="75"/>
      <c r="C94" s="75"/>
      <c r="D94" s="84">
        <f>SUM(D10:D93)</f>
        <v>1415188.732049651</v>
      </c>
      <c r="E94" s="84">
        <f>SUM(E10:E93)</f>
        <v>5504288.6500000013</v>
      </c>
      <c r="F94" s="75"/>
      <c r="G94" s="75"/>
    </row>
    <row r="95" spans="1:9" ht="39.950000000000003" customHeight="1">
      <c r="A95" s="569" t="s">
        <v>396</v>
      </c>
      <c r="B95" s="569"/>
      <c r="C95" s="569"/>
      <c r="D95" s="569"/>
      <c r="E95" s="569"/>
      <c r="F95" s="569"/>
      <c r="G95" s="569"/>
      <c r="H95" s="569"/>
    </row>
    <row r="96" spans="1:9">
      <c r="A96" t="s">
        <v>514</v>
      </c>
    </row>
    <row r="97" spans="1:2">
      <c r="A97">
        <v>1</v>
      </c>
      <c r="B97" t="s">
        <v>515</v>
      </c>
    </row>
    <row r="98" spans="1:2">
      <c r="A98">
        <v>2</v>
      </c>
      <c r="B98" t="s">
        <v>516</v>
      </c>
    </row>
  </sheetData>
  <mergeCells count="2">
    <mergeCell ref="A2:G2"/>
    <mergeCell ref="A95:H95"/>
  </mergeCells>
  <pageMargins left="0.7" right="0.7" top="0.75" bottom="0.75" header="0.3" footer="0.3"/>
  <pageSetup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V71"/>
  <sheetViews>
    <sheetView view="pageBreakPreview" zoomScale="80" zoomScaleSheetLayoutView="80" workbookViewId="0">
      <selection activeCell="D17" sqref="D17"/>
    </sheetView>
  </sheetViews>
  <sheetFormatPr defaultRowHeight="15"/>
  <cols>
    <col min="1" max="1" width="4.85546875" customWidth="1"/>
    <col min="2" max="2" width="4" customWidth="1"/>
    <col min="3" max="3" width="36" bestFit="1" customWidth="1"/>
    <col min="4" max="4" width="18.7109375" bestFit="1" customWidth="1"/>
    <col min="5" max="11" width="12.42578125" bestFit="1" customWidth="1"/>
    <col min="14" max="14" width="25.140625" hidden="1" customWidth="1"/>
    <col min="15" max="15" width="13.7109375" hidden="1" customWidth="1"/>
    <col min="16" max="16" width="10.7109375" hidden="1" customWidth="1"/>
    <col min="17" max="17" width="12.42578125" hidden="1" customWidth="1"/>
    <col min="18" max="18" width="13" hidden="1" customWidth="1"/>
    <col min="19" max="20" width="0" hidden="1" customWidth="1"/>
    <col min="21" max="21" width="25.140625" hidden="1" customWidth="1"/>
    <col min="22" max="22" width="13.5703125" hidden="1" customWidth="1"/>
    <col min="23" max="23" width="0" hidden="1" customWidth="1"/>
  </cols>
  <sheetData>
    <row r="2" spans="3:22" ht="18.75">
      <c r="C2" s="562" t="s">
        <v>538</v>
      </c>
      <c r="D2" s="562"/>
      <c r="E2" s="562"/>
      <c r="F2" s="562"/>
      <c r="G2" s="562"/>
      <c r="H2" s="562"/>
      <c r="I2" s="562"/>
      <c r="J2" s="562"/>
      <c r="K2" s="562"/>
      <c r="L2" s="179"/>
    </row>
    <row r="4" spans="3:22">
      <c r="C4" s="65" t="s">
        <v>0</v>
      </c>
      <c r="D4" s="65"/>
      <c r="E4" s="66" t="s">
        <v>2</v>
      </c>
      <c r="F4" s="66" t="s">
        <v>3</v>
      </c>
      <c r="G4" s="66" t="s">
        <v>4</v>
      </c>
      <c r="H4" s="66" t="s">
        <v>5</v>
      </c>
      <c r="I4" s="66" t="s">
        <v>6</v>
      </c>
      <c r="J4" s="66" t="s">
        <v>166</v>
      </c>
      <c r="K4" s="66" t="s">
        <v>165</v>
      </c>
      <c r="L4" s="75"/>
      <c r="M4" s="75"/>
      <c r="N4" s="196"/>
      <c r="O4" s="196"/>
      <c r="P4" s="196"/>
      <c r="Q4" s="196"/>
      <c r="R4" s="196"/>
      <c r="S4" s="196"/>
      <c r="T4" s="196"/>
      <c r="U4" s="196"/>
      <c r="V4" s="196"/>
    </row>
    <row r="5" spans="3:22">
      <c r="C5" s="76" t="s">
        <v>352</v>
      </c>
      <c r="D5" s="76"/>
      <c r="E5" s="76"/>
      <c r="F5" s="76"/>
      <c r="G5" s="76"/>
      <c r="H5" s="76"/>
      <c r="I5" s="76"/>
      <c r="J5" s="76"/>
      <c r="K5" s="76"/>
      <c r="L5" s="75"/>
      <c r="M5" s="75"/>
      <c r="N5" s="580" t="s">
        <v>511</v>
      </c>
      <c r="O5" s="580"/>
      <c r="P5" s="580"/>
      <c r="Q5" s="580"/>
      <c r="R5" s="580"/>
      <c r="S5" s="196"/>
      <c r="T5" s="196"/>
      <c r="U5" s="580" t="s">
        <v>512</v>
      </c>
      <c r="V5" s="580"/>
    </row>
    <row r="6" spans="3:22">
      <c r="C6" s="76" t="s">
        <v>353</v>
      </c>
      <c r="D6" s="166"/>
      <c r="E6" s="76"/>
      <c r="F6" s="77">
        <f t="shared" ref="F6:K9" si="0">E15</f>
        <v>0</v>
      </c>
      <c r="G6" s="77">
        <f t="shared" si="0"/>
        <v>0</v>
      </c>
      <c r="H6" s="77">
        <f t="shared" si="0"/>
        <v>0</v>
      </c>
      <c r="I6" s="77">
        <f t="shared" si="0"/>
        <v>0</v>
      </c>
      <c r="J6" s="77">
        <f t="shared" si="0"/>
        <v>0</v>
      </c>
      <c r="K6" s="77">
        <f t="shared" si="0"/>
        <v>0</v>
      </c>
      <c r="L6" s="75"/>
      <c r="M6" s="75"/>
      <c r="N6" s="579" t="s">
        <v>513</v>
      </c>
      <c r="O6" s="579"/>
      <c r="P6" s="579"/>
      <c r="Q6" s="579"/>
      <c r="R6" s="579"/>
      <c r="S6" s="196"/>
      <c r="T6" s="196"/>
      <c r="U6" s="579" t="s">
        <v>513</v>
      </c>
      <c r="V6" s="579"/>
    </row>
    <row r="7" spans="3:22">
      <c r="C7" s="76" t="s">
        <v>434</v>
      </c>
      <c r="D7" s="166"/>
      <c r="E7" s="76"/>
      <c r="F7" s="77">
        <f t="shared" si="0"/>
        <v>2748382.7260066639</v>
      </c>
      <c r="G7" s="77">
        <f t="shared" si="0"/>
        <v>3037686.1708494704</v>
      </c>
      <c r="H7" s="77">
        <f t="shared" si="0"/>
        <v>3349049.0033615413</v>
      </c>
      <c r="I7" s="77">
        <f t="shared" si="0"/>
        <v>3683953.9036976951</v>
      </c>
      <c r="J7" s="77">
        <f t="shared" si="0"/>
        <v>4043976.6715590619</v>
      </c>
      <c r="K7" s="77">
        <f t="shared" si="0"/>
        <v>4430791.831447321</v>
      </c>
      <c r="L7" s="75"/>
      <c r="M7" s="75"/>
      <c r="N7" s="197" t="s">
        <v>0</v>
      </c>
      <c r="O7" s="197" t="s">
        <v>161</v>
      </c>
      <c r="P7" s="197" t="s">
        <v>162</v>
      </c>
      <c r="Q7" s="197" t="s">
        <v>307</v>
      </c>
      <c r="R7" s="197" t="s">
        <v>308</v>
      </c>
      <c r="S7" s="196"/>
      <c r="T7" s="196"/>
      <c r="U7" s="243" t="s">
        <v>0</v>
      </c>
      <c r="V7" s="243" t="s">
        <v>470</v>
      </c>
    </row>
    <row r="8" spans="3:22">
      <c r="C8" s="76" t="s">
        <v>529</v>
      </c>
      <c r="D8" s="166"/>
      <c r="E8" s="76"/>
      <c r="F8" s="77">
        <f t="shared" si="0"/>
        <v>256580.81132774882</v>
      </c>
      <c r="G8" s="77">
        <f t="shared" si="0"/>
        <v>538819.70378827245</v>
      </c>
      <c r="H8" s="77">
        <f t="shared" si="0"/>
        <v>848641.03346652957</v>
      </c>
      <c r="I8" s="77">
        <f t="shared" si="0"/>
        <v>1188097.4468531408</v>
      </c>
      <c r="J8" s="77">
        <f t="shared" si="0"/>
        <v>1559377.8989947475</v>
      </c>
      <c r="K8" s="77">
        <f t="shared" si="0"/>
        <v>1964816.1527333818</v>
      </c>
      <c r="L8" s="75"/>
      <c r="M8" s="75"/>
      <c r="N8" s="198" t="s">
        <v>354</v>
      </c>
      <c r="O8" s="198">
        <f>'13.Facility 2 Grain Processing'!C154</f>
        <v>1400</v>
      </c>
      <c r="P8" s="198">
        <f>'13.Facility 2 Grain Processing'!C155</f>
        <v>2100</v>
      </c>
      <c r="Q8" s="198">
        <f>'13.Facility 2 Grain Processing'!C156</f>
        <v>8799.9999999999927</v>
      </c>
      <c r="R8" s="198">
        <f>'13.Facility 2 Grain Processing'!C157</f>
        <v>2300</v>
      </c>
      <c r="S8" s="196"/>
      <c r="T8" s="196"/>
      <c r="U8" s="198" t="s">
        <v>332</v>
      </c>
      <c r="V8" s="198">
        <f>'17.Facility 6 Horti Processing '!C163</f>
        <v>6000</v>
      </c>
    </row>
    <row r="9" spans="3:22">
      <c r="C9" s="76" t="str">
        <f>C18</f>
        <v xml:space="preserve">Horticulture Processing </v>
      </c>
      <c r="D9" s="76"/>
      <c r="E9" s="76"/>
      <c r="F9" s="77">
        <f>E18</f>
        <v>0</v>
      </c>
      <c r="G9" s="77">
        <f t="shared" si="0"/>
        <v>0</v>
      </c>
      <c r="H9" s="77">
        <f t="shared" si="0"/>
        <v>0</v>
      </c>
      <c r="I9" s="77">
        <f t="shared" si="0"/>
        <v>0</v>
      </c>
      <c r="J9" s="77">
        <f t="shared" si="0"/>
        <v>0</v>
      </c>
      <c r="K9" s="77">
        <f t="shared" si="0"/>
        <v>0</v>
      </c>
      <c r="L9" s="75"/>
      <c r="M9" s="75"/>
      <c r="N9" s="198">
        <f>'13.Facility 2 Grain Processing'!A164</f>
        <v>0</v>
      </c>
      <c r="O9" s="198">
        <f>('13.Facility 2 Grain Processing'!B164*'13.Facility 2 Grain Processing'!C164/1000)*100</f>
        <v>0</v>
      </c>
      <c r="P9" s="198">
        <f>O9</f>
        <v>0</v>
      </c>
      <c r="Q9" s="198">
        <f t="shared" ref="Q9:R9" si="1">P9</f>
        <v>0</v>
      </c>
      <c r="R9" s="198">
        <f t="shared" si="1"/>
        <v>0</v>
      </c>
      <c r="S9" s="196"/>
      <c r="T9" s="196"/>
      <c r="U9" s="198" t="str">
        <f>'17.Facility 6 Horti Processing '!A164</f>
        <v>Other Consumbales</v>
      </c>
      <c r="V9" s="199">
        <f>'17.Facility 6 Horti Processing '!C164</f>
        <v>2000</v>
      </c>
    </row>
    <row r="10" spans="3:22">
      <c r="C10" s="76"/>
      <c r="D10" s="76"/>
      <c r="E10" s="76"/>
      <c r="F10" s="77"/>
      <c r="G10" s="77"/>
      <c r="H10" s="77"/>
      <c r="I10" s="77"/>
      <c r="J10" s="77"/>
      <c r="K10" s="77"/>
      <c r="L10" s="75"/>
      <c r="M10" s="75"/>
      <c r="N10" s="198" t="str">
        <f>'13.Facility 2 Grain Processing'!A165</f>
        <v xml:space="preserve">Daily Labour </v>
      </c>
      <c r="O10" s="200">
        <f>('13.Facility 2 Grain Processing'!B165*'13.Facility 2 Grain Processing'!C165)/('13.Facility 2 Grain Processing'!B5*'13.Facility 2 Grain Processing'!B6)</f>
        <v>0</v>
      </c>
      <c r="P10" s="200">
        <f>O10</f>
        <v>0</v>
      </c>
      <c r="Q10" s="200">
        <f t="shared" ref="Q10:R10" si="2">P10</f>
        <v>0</v>
      </c>
      <c r="R10" s="200">
        <f t="shared" si="2"/>
        <v>0</v>
      </c>
      <c r="S10" s="196"/>
      <c r="T10" s="196"/>
      <c r="U10" s="198" t="str">
        <f>'17.Facility 6 Horti Processing '!A165</f>
        <v xml:space="preserve">Daily Labour </v>
      </c>
      <c r="V10" s="199">
        <f>'17.Facility 6 Horti Processing '!B165*'17.Facility 6 Horti Processing '!C165/('17.Facility 6 Horti Processing '!B5*'17.Facility 6 Horti Processing '!B6)</f>
        <v>187.5</v>
      </c>
    </row>
    <row r="11" spans="3:22">
      <c r="C11" s="76"/>
      <c r="D11" s="76"/>
      <c r="E11" s="76"/>
      <c r="F11" s="77"/>
      <c r="G11" s="77"/>
      <c r="H11" s="77"/>
      <c r="I11" s="77"/>
      <c r="J11" s="77"/>
      <c r="K11" s="77"/>
      <c r="L11" s="75"/>
      <c r="M11" s="75"/>
      <c r="N11" s="198" t="str">
        <f>'13.Facility 2 Grain Processing'!A166</f>
        <v>Electricity Charges</v>
      </c>
      <c r="O11" s="200">
        <f>('13.Facility 2 Grain Processing'!B166*'13.Facility 2 Grain Processing'!C166)/('13.Facility 2 Grain Processing'!B5*'13.Facility 2 Grain Processing'!B6)</f>
        <v>127.88678</v>
      </c>
      <c r="P11" s="200">
        <f>O11</f>
        <v>127.88678</v>
      </c>
      <c r="Q11" s="200">
        <f t="shared" ref="Q11" si="3">P11</f>
        <v>127.88678</v>
      </c>
      <c r="R11" s="200">
        <f t="shared" ref="R11" si="4">Q11</f>
        <v>127.88678</v>
      </c>
      <c r="S11" s="196"/>
      <c r="T11" s="196"/>
      <c r="U11" s="198" t="str">
        <f>'17.Facility 6 Horti Processing '!A166</f>
        <v>Electricity Charges</v>
      </c>
      <c r="V11" s="198">
        <f>'17.Facility 6 Horti Processing '!B166*'17.Facility 6 Horti Processing '!C166/('17.Facility 6 Horti Processing '!B5*'17.Facility 6 Horti Processing '!B6)</f>
        <v>0</v>
      </c>
    </row>
    <row r="12" spans="3:22">
      <c r="C12" s="76" t="s">
        <v>1</v>
      </c>
      <c r="D12" s="76"/>
      <c r="E12" s="77"/>
      <c r="F12" s="77">
        <f t="shared" ref="F12:K12" si="5">SUM(F6:F11)</f>
        <v>3004963.5373344128</v>
      </c>
      <c r="G12" s="77">
        <f t="shared" si="5"/>
        <v>3576505.874637743</v>
      </c>
      <c r="H12" s="77">
        <f t="shared" si="5"/>
        <v>4197690.0368280709</v>
      </c>
      <c r="I12" s="77">
        <f t="shared" si="5"/>
        <v>4872051.350550836</v>
      </c>
      <c r="J12" s="77">
        <f t="shared" si="5"/>
        <v>5603354.5705538094</v>
      </c>
      <c r="K12" s="77">
        <f t="shared" si="5"/>
        <v>6395607.9841807028</v>
      </c>
      <c r="L12" s="75"/>
      <c r="M12" s="75"/>
      <c r="N12" s="198" t="str">
        <f>'13.Facility 2 Grain Processing'!A167</f>
        <v>Loading/Unloading Charges</v>
      </c>
      <c r="O12" s="198">
        <f>'13.Facility 2 Grain Processing'!C167*2</f>
        <v>20</v>
      </c>
      <c r="P12" s="198">
        <f>O12</f>
        <v>20</v>
      </c>
      <c r="Q12" s="198">
        <f t="shared" ref="Q12:R13" si="6">P12</f>
        <v>20</v>
      </c>
      <c r="R12" s="198">
        <f t="shared" si="6"/>
        <v>20</v>
      </c>
      <c r="S12" s="196"/>
      <c r="T12" s="196"/>
      <c r="U12" s="198" t="str">
        <f>'17.Facility 6 Horti Processing '!A167</f>
        <v>Loading/Unloading Charges</v>
      </c>
      <c r="V12" s="198">
        <f>'17.Facility 6 Horti Processing '!C167</f>
        <v>10</v>
      </c>
    </row>
    <row r="13" spans="3:22">
      <c r="C13" s="76"/>
      <c r="D13" s="76"/>
      <c r="E13" s="76"/>
      <c r="F13" s="77"/>
      <c r="G13" s="77"/>
      <c r="H13" s="77"/>
      <c r="I13" s="77"/>
      <c r="J13" s="77"/>
      <c r="K13" s="77"/>
      <c r="L13" s="75"/>
      <c r="M13" s="75"/>
      <c r="N13" s="198" t="str">
        <f>'13.Facility 2 Grain Processing'!A168</f>
        <v>Packaging Exp</v>
      </c>
      <c r="O13" s="198">
        <f>'13.Facility 2 Grain Processing'!C168*2</f>
        <v>300</v>
      </c>
      <c r="P13" s="198">
        <f>O13</f>
        <v>300</v>
      </c>
      <c r="Q13" s="198">
        <f t="shared" si="6"/>
        <v>300</v>
      </c>
      <c r="R13" s="198">
        <f t="shared" si="6"/>
        <v>300</v>
      </c>
      <c r="S13" s="196"/>
      <c r="T13" s="196"/>
      <c r="U13" s="198" t="str">
        <f>'17.Facility 6 Horti Processing '!A168</f>
        <v>packaging Exp</v>
      </c>
      <c r="V13" s="8">
        <f>'17.Facility 6 Horti Processing '!C168*100</f>
        <v>200</v>
      </c>
    </row>
    <row r="14" spans="3:22">
      <c r="C14" s="78" t="s">
        <v>334</v>
      </c>
      <c r="D14" s="76"/>
      <c r="E14" s="76"/>
      <c r="F14" s="77"/>
      <c r="G14" s="77"/>
      <c r="H14" s="77"/>
      <c r="I14" s="77"/>
      <c r="J14" s="77"/>
      <c r="K14" s="77"/>
      <c r="L14" s="75"/>
      <c r="M14" s="75"/>
      <c r="N14" s="198"/>
      <c r="O14" s="8"/>
      <c r="P14" s="8"/>
      <c r="Q14" s="8"/>
      <c r="R14" s="8"/>
      <c r="S14" s="196"/>
      <c r="T14" s="196"/>
      <c r="U14" s="8"/>
      <c r="V14" s="8"/>
    </row>
    <row r="15" spans="3:22">
      <c r="C15" s="76" t="str">
        <f>C6</f>
        <v>Agri Input</v>
      </c>
      <c r="D15" s="448">
        <v>0.05</v>
      </c>
      <c r="E15" s="77">
        <f>SUM('16.Facility 5 Agri Input'!D198:D259)*$D$15</f>
        <v>0</v>
      </c>
      <c r="F15" s="77">
        <f>SUM('16.Facility 5 Agri Input'!E198:E259)*$D$15</f>
        <v>0</v>
      </c>
      <c r="G15" s="77">
        <f>SUM('16.Facility 5 Agri Input'!F198:F259)*$D$15</f>
        <v>0</v>
      </c>
      <c r="H15" s="77">
        <f>SUM('16.Facility 5 Agri Input'!G198:G259)*$D$15</f>
        <v>0</v>
      </c>
      <c r="I15" s="77">
        <f>SUM('16.Facility 5 Agri Input'!H198:H259)*$D$15</f>
        <v>0</v>
      </c>
      <c r="J15" s="77">
        <f>SUM('16.Facility 5 Agri Input'!I198:I259)*$D$15</f>
        <v>0</v>
      </c>
      <c r="K15" s="77">
        <f>SUM('16.Facility 5 Agri Input'!J198:J259)*$D$15</f>
        <v>0</v>
      </c>
      <c r="L15" s="75"/>
      <c r="M15" s="75"/>
      <c r="N15" s="8"/>
      <c r="O15" s="8"/>
      <c r="P15" s="8"/>
      <c r="Q15" s="8"/>
      <c r="R15" s="8"/>
      <c r="U15" s="8"/>
      <c r="V15" s="8"/>
    </row>
    <row r="16" spans="3:22">
      <c r="C16" s="76" t="str">
        <f>C7</f>
        <v>Trading</v>
      </c>
      <c r="D16" s="448">
        <v>0.05</v>
      </c>
      <c r="E16" s="77">
        <f>SUM('12.Facility 1 - Trading'!D233:D288)*$D$16</f>
        <v>2748382.7260066639</v>
      </c>
      <c r="F16" s="77">
        <f>SUM('12.Facility 1 - Trading'!E233:E288)*$D$16</f>
        <v>3037686.1708494704</v>
      </c>
      <c r="G16" s="77">
        <f>SUM('12.Facility 1 - Trading'!F233:F288)*$D$16</f>
        <v>3349049.0033615413</v>
      </c>
      <c r="H16" s="77">
        <f>SUM('12.Facility 1 - Trading'!G233:G288)*$D$16</f>
        <v>3683953.9036976951</v>
      </c>
      <c r="I16" s="77">
        <f>SUM('12.Facility 1 - Trading'!H233:H288)*$D$16</f>
        <v>4043976.6715590619</v>
      </c>
      <c r="J16" s="77">
        <f>SUM('12.Facility 1 - Trading'!I233:I288)*$D$16</f>
        <v>4430791.831447321</v>
      </c>
      <c r="K16" s="77">
        <f>SUM('12.Facility 1 - Trading'!J233:J288)*$D$16</f>
        <v>4846178.5656455075</v>
      </c>
      <c r="L16" s="75"/>
      <c r="M16" s="75"/>
      <c r="N16" s="197" t="s">
        <v>355</v>
      </c>
      <c r="O16" s="201">
        <f>SUM(O8:O13)</f>
        <v>1847.88678</v>
      </c>
      <c r="P16" s="201">
        <f>SUM(P8:P13)</f>
        <v>2547.8867799999998</v>
      </c>
      <c r="Q16" s="201">
        <f>SUM(Q8:Q13)</f>
        <v>9247.8867799999935</v>
      </c>
      <c r="R16" s="201">
        <f>SUM(R8:R13)</f>
        <v>2747.8867799999998</v>
      </c>
      <c r="U16" s="197" t="s">
        <v>1</v>
      </c>
      <c r="V16" s="201">
        <f>SUM(V8:V15)</f>
        <v>8397.5</v>
      </c>
    </row>
    <row r="17" spans="1:18">
      <c r="C17" s="76" t="str">
        <f>C8</f>
        <v xml:space="preserve">Grain Processing </v>
      </c>
      <c r="D17" s="448">
        <v>0.05</v>
      </c>
      <c r="E17" s="77">
        <f>SUM('13.Facility 2 Grain Processing'!D154:D173)*$D$17</f>
        <v>256580.81132774882</v>
      </c>
      <c r="F17" s="77">
        <f>SUM('13.Facility 2 Grain Processing'!E154:E173)*$D$17</f>
        <v>538819.70378827245</v>
      </c>
      <c r="G17" s="77">
        <f>SUM('13.Facility 2 Grain Processing'!F154:F173)*$D$17</f>
        <v>848641.03346652957</v>
      </c>
      <c r="H17" s="77">
        <f>SUM('13.Facility 2 Grain Processing'!G154:G173)*$D$17</f>
        <v>1188097.4468531408</v>
      </c>
      <c r="I17" s="77">
        <f>SUM('13.Facility 2 Grain Processing'!H154:H173)*$D$17</f>
        <v>1559377.8989947475</v>
      </c>
      <c r="J17" s="77">
        <f>SUM('13.Facility 2 Grain Processing'!I154:I173)*$D$17</f>
        <v>1964816.1527333818</v>
      </c>
      <c r="K17" s="77">
        <f>SUM('13.Facility 2 Grain Processing'!J154:J173)*$D$17</f>
        <v>2406899.7870983928</v>
      </c>
      <c r="L17" s="75"/>
      <c r="M17" s="75"/>
    </row>
    <row r="18" spans="1:18">
      <c r="C18" s="76" t="s">
        <v>498</v>
      </c>
      <c r="D18" s="448">
        <v>0.05</v>
      </c>
      <c r="E18" s="77">
        <f>SUM('17.Facility 6 Horti Processing '!D163:D173)*$D$18</f>
        <v>0</v>
      </c>
      <c r="F18" s="77">
        <f>SUM('17.Facility 6 Horti Processing '!E163:E173)*$D$18</f>
        <v>0</v>
      </c>
      <c r="G18" s="77">
        <f>SUM('17.Facility 6 Horti Processing '!F163:F173)*$D$18</f>
        <v>0</v>
      </c>
      <c r="H18" s="77">
        <f>SUM('17.Facility 6 Horti Processing '!G163:G173)*$D$18</f>
        <v>0</v>
      </c>
      <c r="I18" s="77">
        <f>SUM('17.Facility 6 Horti Processing '!H163:H173)*$D$18</f>
        <v>0</v>
      </c>
      <c r="J18" s="77">
        <f>SUM('17.Facility 6 Horti Processing '!I163:I173)*$D$18</f>
        <v>0</v>
      </c>
      <c r="K18" s="77">
        <f>SUM('17.Facility 6 Horti Processing '!J163:J173)*$D$18</f>
        <v>0</v>
      </c>
      <c r="L18" s="75"/>
      <c r="M18" s="75"/>
    </row>
    <row r="19" spans="1:18">
      <c r="C19" s="76"/>
      <c r="D19" s="448"/>
      <c r="E19" s="77"/>
      <c r="F19" s="77"/>
      <c r="G19" s="77"/>
      <c r="H19" s="77"/>
      <c r="I19" s="77"/>
      <c r="J19" s="77"/>
      <c r="K19" s="77"/>
      <c r="L19" s="75"/>
      <c r="M19" s="75"/>
    </row>
    <row r="20" spans="1:18">
      <c r="C20" s="76"/>
      <c r="D20" s="76"/>
      <c r="E20" s="76"/>
      <c r="F20" s="77"/>
      <c r="G20" s="77"/>
      <c r="H20" s="77"/>
      <c r="I20" s="77"/>
      <c r="J20" s="77"/>
      <c r="K20" s="77"/>
      <c r="L20" s="75"/>
      <c r="M20" s="75"/>
    </row>
    <row r="21" spans="1:18">
      <c r="C21" s="76" t="s">
        <v>1</v>
      </c>
      <c r="D21" s="76"/>
      <c r="E21" s="173">
        <f t="shared" ref="E21:K21" si="7">SUM(E15:E20)</f>
        <v>3004963.5373344128</v>
      </c>
      <c r="F21" s="173">
        <f t="shared" si="7"/>
        <v>3576505.874637743</v>
      </c>
      <c r="G21" s="173">
        <f t="shared" si="7"/>
        <v>4197690.0368280709</v>
      </c>
      <c r="H21" s="173">
        <f t="shared" si="7"/>
        <v>4872051.350550836</v>
      </c>
      <c r="I21" s="173">
        <f t="shared" si="7"/>
        <v>5603354.5705538094</v>
      </c>
      <c r="J21" s="173">
        <f t="shared" si="7"/>
        <v>6395607.9841807028</v>
      </c>
      <c r="K21" s="173">
        <f t="shared" si="7"/>
        <v>7253078.3527439004</v>
      </c>
      <c r="L21" s="75"/>
      <c r="M21" s="75"/>
    </row>
    <row r="22" spans="1:18">
      <c r="C22" s="164"/>
      <c r="D22" s="164"/>
      <c r="E22" s="260"/>
      <c r="F22" s="233"/>
      <c r="G22" s="233"/>
      <c r="H22" s="233"/>
      <c r="I22" s="233"/>
      <c r="J22" s="233"/>
      <c r="K22" s="233"/>
      <c r="L22" s="75"/>
      <c r="M22" s="75"/>
    </row>
    <row r="23" spans="1:18">
      <c r="C23" s="75"/>
      <c r="D23" s="75"/>
      <c r="E23" s="75"/>
      <c r="F23" s="75"/>
      <c r="G23" s="75"/>
      <c r="H23" s="75"/>
      <c r="I23" s="75"/>
      <c r="J23" s="75"/>
      <c r="K23" s="75"/>
      <c r="L23" s="75"/>
      <c r="M23" s="75"/>
    </row>
    <row r="24" spans="1:18" ht="41.1" customHeight="1">
      <c r="A24" s="581" t="s">
        <v>397</v>
      </c>
      <c r="B24" s="581"/>
      <c r="C24" s="581"/>
      <c r="D24" s="581"/>
      <c r="E24" s="581"/>
      <c r="F24" s="581"/>
      <c r="G24" s="581"/>
      <c r="H24" s="581"/>
      <c r="I24" s="581"/>
      <c r="J24" s="581"/>
      <c r="K24" s="581"/>
      <c r="L24" s="242"/>
      <c r="M24" s="242"/>
      <c r="N24" s="242"/>
      <c r="O24" s="224"/>
      <c r="P24" s="224"/>
      <c r="Q24" s="224"/>
      <c r="R24" s="224"/>
    </row>
    <row r="25" spans="1:18">
      <c r="A25" t="s">
        <v>514</v>
      </c>
    </row>
    <row r="26" spans="1:18">
      <c r="A26">
        <v>1</v>
      </c>
      <c r="B26" t="s">
        <v>517</v>
      </c>
    </row>
    <row r="29" spans="1:18" ht="18.75">
      <c r="B29" s="562" t="s">
        <v>539</v>
      </c>
      <c r="C29" s="562"/>
      <c r="D29" s="562"/>
      <c r="E29" s="562"/>
      <c r="F29" s="562"/>
      <c r="G29" s="562"/>
      <c r="H29" s="562"/>
      <c r="I29" s="562"/>
      <c r="J29" s="562"/>
      <c r="K29" s="562"/>
    </row>
    <row r="31" spans="1:18">
      <c r="B31" s="572" t="s">
        <v>144</v>
      </c>
      <c r="C31" s="572" t="s">
        <v>0</v>
      </c>
      <c r="D31" s="575" t="s">
        <v>351</v>
      </c>
      <c r="E31" s="577" t="s">
        <v>156</v>
      </c>
      <c r="F31" s="578"/>
      <c r="G31" s="578"/>
      <c r="H31" s="578"/>
      <c r="I31" s="578"/>
      <c r="J31" s="578"/>
      <c r="K31" s="578"/>
    </row>
    <row r="32" spans="1:18">
      <c r="B32" s="572"/>
      <c r="C32" s="572"/>
      <c r="D32" s="576"/>
      <c r="E32" s="183" t="s">
        <v>2</v>
      </c>
      <c r="F32" s="183" t="s">
        <v>3</v>
      </c>
      <c r="G32" s="183" t="s">
        <v>4</v>
      </c>
      <c r="H32" s="183" t="s">
        <v>5</v>
      </c>
      <c r="I32" s="183" t="s">
        <v>6</v>
      </c>
      <c r="J32" s="183" t="s">
        <v>166</v>
      </c>
      <c r="K32" s="183" t="s">
        <v>165</v>
      </c>
    </row>
    <row r="33" spans="2:11">
      <c r="B33" s="185"/>
      <c r="C33" s="186"/>
      <c r="D33" s="186"/>
      <c r="E33" s="187"/>
      <c r="F33" s="187"/>
      <c r="G33" s="187"/>
      <c r="H33" s="187"/>
      <c r="I33" s="187"/>
      <c r="J33" s="187"/>
      <c r="K33" s="187"/>
    </row>
    <row r="34" spans="2:11">
      <c r="B34" s="188" t="s">
        <v>170</v>
      </c>
      <c r="C34" s="189" t="s">
        <v>335</v>
      </c>
      <c r="D34" s="449"/>
      <c r="E34" s="190"/>
      <c r="F34" s="190"/>
      <c r="G34" s="190"/>
      <c r="H34" s="190"/>
      <c r="I34" s="190"/>
      <c r="J34" s="190"/>
      <c r="K34" s="190"/>
    </row>
    <row r="35" spans="2:11">
      <c r="B35" s="217">
        <v>1</v>
      </c>
      <c r="C35" s="191" t="s">
        <v>353</v>
      </c>
      <c r="D35" s="449">
        <v>14</v>
      </c>
      <c r="E35" s="190">
        <f>('16.Facility 5 Agri Input'!D191/365)*$D$35</f>
        <v>0</v>
      </c>
      <c r="F35" s="190">
        <f>('16.Facility 5 Agri Input'!E191/365)*$D$35</f>
        <v>0</v>
      </c>
      <c r="G35" s="190">
        <f>('16.Facility 5 Agri Input'!F191/365)*$D$35</f>
        <v>0</v>
      </c>
      <c r="H35" s="190">
        <f>('16.Facility 5 Agri Input'!G191/365)*$D$35</f>
        <v>0</v>
      </c>
      <c r="I35" s="190">
        <f>('16.Facility 5 Agri Input'!H191/365)*$D$35</f>
        <v>0</v>
      </c>
      <c r="J35" s="190">
        <f>('16.Facility 5 Agri Input'!I191/365)*$D$35</f>
        <v>0</v>
      </c>
      <c r="K35" s="190">
        <f>('16.Facility 5 Agri Input'!J191/365)*$D$35</f>
        <v>0</v>
      </c>
    </row>
    <row r="36" spans="2:11">
      <c r="B36" s="217">
        <v>2</v>
      </c>
      <c r="C36" s="191" t="s">
        <v>348</v>
      </c>
      <c r="D36" s="449">
        <v>14</v>
      </c>
      <c r="E36" s="190">
        <f>('15. Facility 4 Custom Hiring'!E39/365)*$D$36</f>
        <v>0</v>
      </c>
      <c r="F36" s="190">
        <f>('15. Facility 4 Custom Hiring'!F39/365)*$D$36</f>
        <v>0</v>
      </c>
      <c r="G36" s="190">
        <f>('15. Facility 4 Custom Hiring'!G39/365)*$D$36</f>
        <v>0</v>
      </c>
      <c r="H36" s="190">
        <f>('15. Facility 4 Custom Hiring'!H39/365)*$D$36</f>
        <v>0</v>
      </c>
      <c r="I36" s="190">
        <f>('15. Facility 4 Custom Hiring'!I39/365)*$D$36</f>
        <v>0</v>
      </c>
      <c r="J36" s="190">
        <f>('15. Facility 4 Custom Hiring'!J39/365)*$D$36</f>
        <v>0</v>
      </c>
      <c r="K36" s="190">
        <f>('15. Facility 4 Custom Hiring'!K39/365)*$D$36</f>
        <v>0</v>
      </c>
    </row>
    <row r="37" spans="2:11">
      <c r="B37" s="217">
        <v>3</v>
      </c>
      <c r="C37" s="191" t="s">
        <v>349</v>
      </c>
      <c r="D37" s="449">
        <v>14</v>
      </c>
      <c r="E37" s="190">
        <f>('12.Facility 1 - Trading'!D229/365)*$D$37</f>
        <v>2144447.5797308213</v>
      </c>
      <c r="F37" s="190">
        <f>('12.Facility 1 - Trading'!E229/365)*$D$37</f>
        <v>2488687.8491086643</v>
      </c>
      <c r="G37" s="190">
        <f>('12.Facility 1 - Trading'!F229/365)*$D$37</f>
        <v>2744105.8125698166</v>
      </c>
      <c r="H37" s="190">
        <f>('12.Facility 1 - Trading'!G229/365)*$D$37</f>
        <v>3018843.852754313</v>
      </c>
      <c r="I37" s="190">
        <f>('12.Facility 1 - Trading'!H229/365)*$D$37</f>
        <v>3314195.4324258352</v>
      </c>
      <c r="J37" s="190">
        <f>('12.Facility 1 - Trading'!I229/365)*$D$37</f>
        <v>3631535.0604326217</v>
      </c>
      <c r="K37" s="190">
        <f>('12.Facility 1 - Trading'!J229/365)*$D$37</f>
        <v>3972323.1626590239</v>
      </c>
    </row>
    <row r="38" spans="2:11">
      <c r="B38" s="217">
        <v>4</v>
      </c>
      <c r="C38" s="191" t="s">
        <v>730</v>
      </c>
      <c r="D38" s="449">
        <v>14</v>
      </c>
      <c r="E38" s="190">
        <f>('13.Facility 2 Grain Processing'!D150/365)*$D$38</f>
        <v>220965.19757639623</v>
      </c>
      <c r="F38" s="190">
        <f>('13.Facility 2 Grain Processing'!E150/365)*$D$38</f>
        <v>467486.55156418111</v>
      </c>
      <c r="G38" s="190">
        <f>('13.Facility 2 Grain Processing'!F150/365)*$D$38</f>
        <v>738107.62795680366</v>
      </c>
      <c r="H38" s="190">
        <f>('13.Facility 2 Grain Processing'!G150/365)*$D$38</f>
        <v>1034622.0956097778</v>
      </c>
      <c r="I38" s="190">
        <f>('13.Facility 2 Grain Processing'!H150/365)*$D$38</f>
        <v>1358942.7409581577</v>
      </c>
      <c r="J38" s="190">
        <f>('13.Facility 2 Grain Processing'!I150/365)*$D$38</f>
        <v>1713108.8956023511</v>
      </c>
      <c r="K38" s="190">
        <f>('13.Facility 2 Grain Processing'!J150/365)*$D$38</f>
        <v>2099294.3088585678</v>
      </c>
    </row>
    <row r="39" spans="2:11">
      <c r="B39" s="217">
        <v>5</v>
      </c>
      <c r="C39" s="191" t="s">
        <v>292</v>
      </c>
      <c r="D39" s="449">
        <v>14</v>
      </c>
      <c r="E39" s="190">
        <f>('14. Facility 3 Warehouse'!D23/365)*$D$39</f>
        <v>0</v>
      </c>
      <c r="F39" s="190">
        <f>('14. Facility 3 Warehouse'!E23/365)*$D$39</f>
        <v>0</v>
      </c>
      <c r="G39" s="190">
        <f>('14. Facility 3 Warehouse'!F23/365)*$D$39</f>
        <v>0</v>
      </c>
      <c r="H39" s="190">
        <f>('14. Facility 3 Warehouse'!G23/365)*$D$39</f>
        <v>0</v>
      </c>
      <c r="I39" s="190">
        <f>('14. Facility 3 Warehouse'!H23/365)*$D$39</f>
        <v>0</v>
      </c>
      <c r="J39" s="190">
        <f>('14. Facility 3 Warehouse'!I23/365)*$D$39</f>
        <v>0</v>
      </c>
      <c r="K39" s="190">
        <f>('14. Facility 3 Warehouse'!J23/365)*$D$39</f>
        <v>0</v>
      </c>
    </row>
    <row r="40" spans="2:11">
      <c r="B40" s="217">
        <v>6</v>
      </c>
      <c r="C40" s="191" t="s">
        <v>510</v>
      </c>
      <c r="D40" s="449">
        <v>14</v>
      </c>
      <c r="E40" s="190">
        <f>('17.Facility 6 Horti Processing '!D159/365)*$D$40</f>
        <v>0</v>
      </c>
      <c r="F40" s="190">
        <f>('17.Facility 6 Horti Processing '!E159/365)*$D$40</f>
        <v>0</v>
      </c>
      <c r="G40" s="190">
        <f>('17.Facility 6 Horti Processing '!F159/365)*$D$40</f>
        <v>0</v>
      </c>
      <c r="H40" s="190">
        <f>('17.Facility 6 Horti Processing '!G159/365)*$D$40</f>
        <v>0</v>
      </c>
      <c r="I40" s="190">
        <f>('17.Facility 6 Horti Processing '!H159/365)*$D$40</f>
        <v>0</v>
      </c>
      <c r="J40" s="190">
        <f>('17.Facility 6 Horti Processing '!I159/365)*$D$40</f>
        <v>0</v>
      </c>
      <c r="K40" s="190">
        <f>('17.Facility 6 Horti Processing '!J159/365)*$D$40</f>
        <v>0</v>
      </c>
    </row>
    <row r="41" spans="2:11">
      <c r="B41" s="217"/>
      <c r="C41" s="191"/>
      <c r="D41" s="449"/>
      <c r="E41" s="190"/>
      <c r="F41" s="190"/>
      <c r="G41" s="190"/>
      <c r="H41" s="190"/>
      <c r="I41" s="190"/>
      <c r="J41" s="190"/>
      <c r="K41" s="190"/>
    </row>
    <row r="42" spans="2:11">
      <c r="B42" s="207"/>
      <c r="C42" s="189" t="s">
        <v>168</v>
      </c>
      <c r="D42" s="449"/>
      <c r="E42" s="190">
        <f>SUM(E35:E41)</f>
        <v>2365412.7773072175</v>
      </c>
      <c r="F42" s="190">
        <f t="shared" ref="F42:K42" si="8">SUM(F35:F41)</f>
        <v>2956174.4006728455</v>
      </c>
      <c r="G42" s="190">
        <f t="shared" si="8"/>
        <v>3482213.4405266205</v>
      </c>
      <c r="H42" s="190">
        <f t="shared" si="8"/>
        <v>4053465.9483640911</v>
      </c>
      <c r="I42" s="190">
        <f t="shared" si="8"/>
        <v>4673138.1733839931</v>
      </c>
      <c r="J42" s="190">
        <f t="shared" si="8"/>
        <v>5344643.9560349733</v>
      </c>
      <c r="K42" s="190">
        <f t="shared" si="8"/>
        <v>6071617.4715175917</v>
      </c>
    </row>
    <row r="43" spans="2:11">
      <c r="B43" s="188" t="s">
        <v>171</v>
      </c>
      <c r="C43" s="189" t="s">
        <v>334</v>
      </c>
      <c r="D43" s="449"/>
      <c r="E43" s="190">
        <f>'5.Closing Stock &amp; W Capital'!E21</f>
        <v>3004963.5373344128</v>
      </c>
      <c r="F43" s="190">
        <f>'5.Closing Stock &amp; W Capital'!F21</f>
        <v>3576505.874637743</v>
      </c>
      <c r="G43" s="190">
        <f>'5.Closing Stock &amp; W Capital'!G21</f>
        <v>4197690.0368280709</v>
      </c>
      <c r="H43" s="190">
        <f>'5.Closing Stock &amp; W Capital'!H21</f>
        <v>4872051.350550836</v>
      </c>
      <c r="I43" s="190">
        <f>'5.Closing Stock &amp; W Capital'!I21</f>
        <v>5603354.5705538094</v>
      </c>
      <c r="J43" s="190">
        <f>'5.Closing Stock &amp; W Capital'!J21</f>
        <v>6395607.9841807028</v>
      </c>
      <c r="K43" s="190">
        <f>'5.Closing Stock &amp; W Capital'!K21</f>
        <v>7253078.3527439004</v>
      </c>
    </row>
    <row r="44" spans="2:11">
      <c r="B44" s="188"/>
      <c r="C44" s="191"/>
      <c r="D44" s="449"/>
      <c r="E44" s="190"/>
      <c r="F44" s="190"/>
      <c r="G44" s="190"/>
      <c r="H44" s="190"/>
      <c r="I44" s="190"/>
      <c r="J44" s="190"/>
      <c r="K44" s="190"/>
    </row>
    <row r="45" spans="2:11">
      <c r="B45" s="573" t="s">
        <v>1</v>
      </c>
      <c r="C45" s="574"/>
      <c r="D45" s="445"/>
      <c r="E45" s="192">
        <f>SUM(E42:E43)</f>
        <v>5370376.3146416303</v>
      </c>
      <c r="F45" s="192">
        <f t="shared" ref="F45:K45" si="9">SUM(F42:F43)</f>
        <v>6532680.275310589</v>
      </c>
      <c r="G45" s="192">
        <f t="shared" si="9"/>
        <v>7679903.4773546914</v>
      </c>
      <c r="H45" s="192">
        <f t="shared" si="9"/>
        <v>8925517.298914928</v>
      </c>
      <c r="I45" s="192">
        <f t="shared" si="9"/>
        <v>10276492.743937802</v>
      </c>
      <c r="J45" s="192">
        <f t="shared" si="9"/>
        <v>11740251.940215677</v>
      </c>
      <c r="K45" s="192">
        <f t="shared" si="9"/>
        <v>13324695.824261492</v>
      </c>
    </row>
    <row r="46" spans="2:11">
      <c r="B46" s="188"/>
      <c r="C46" s="189"/>
      <c r="D46" s="449"/>
      <c r="E46" s="190"/>
      <c r="F46" s="190"/>
      <c r="G46" s="190"/>
      <c r="H46" s="190"/>
      <c r="I46" s="190"/>
      <c r="J46" s="190"/>
      <c r="K46" s="190"/>
    </row>
    <row r="47" spans="2:11" ht="34.5" customHeight="1">
      <c r="B47" s="188" t="s">
        <v>172</v>
      </c>
      <c r="C47" s="191" t="s">
        <v>336</v>
      </c>
      <c r="D47" s="449"/>
      <c r="E47" s="190"/>
      <c r="F47" s="190"/>
      <c r="G47" s="190"/>
      <c r="H47" s="190"/>
      <c r="I47" s="190"/>
      <c r="J47" s="190"/>
      <c r="K47" s="190"/>
    </row>
    <row r="48" spans="2:11">
      <c r="B48" s="217">
        <v>1</v>
      </c>
      <c r="C48" s="191" t="str">
        <f t="shared" ref="C48:C53" si="10">C35</f>
        <v>Agri Input</v>
      </c>
      <c r="D48" s="449">
        <v>7</v>
      </c>
      <c r="E48" s="190">
        <f>(SUM('16.Facility 5 Agri Input'!D198:D259)/365)*$D$48</f>
        <v>0</v>
      </c>
      <c r="F48" s="190">
        <f>(SUM('16.Facility 5 Agri Input'!E198:E259)/365)*$D$48</f>
        <v>0</v>
      </c>
      <c r="G48" s="190">
        <f>(SUM('16.Facility 5 Agri Input'!F198:F259)/365)*$D$48</f>
        <v>0</v>
      </c>
      <c r="H48" s="190">
        <f>(SUM('16.Facility 5 Agri Input'!G198:G259)/365)*$D$48</f>
        <v>0</v>
      </c>
      <c r="I48" s="190">
        <f>(SUM('16.Facility 5 Agri Input'!H198:H259)/365)*$D$48</f>
        <v>0</v>
      </c>
      <c r="J48" s="190">
        <f>(SUM('16.Facility 5 Agri Input'!I198:I259)/365)*$D$48</f>
        <v>0</v>
      </c>
      <c r="K48" s="190">
        <f>(SUM('16.Facility 5 Agri Input'!J198:J259)/365)*$D$48</f>
        <v>0</v>
      </c>
    </row>
    <row r="49" spans="1:12">
      <c r="B49" s="217">
        <v>2</v>
      </c>
      <c r="C49" s="191" t="str">
        <f t="shared" si="10"/>
        <v>Custom Hiring</v>
      </c>
      <c r="D49" s="449">
        <v>7</v>
      </c>
      <c r="E49" s="190">
        <f>('15. Facility 4 Custom Hiring'!E49/365)*$D$50</f>
        <v>0</v>
      </c>
      <c r="F49" s="190">
        <f>('15. Facility 4 Custom Hiring'!F49/365)*$D$50</f>
        <v>0</v>
      </c>
      <c r="G49" s="190">
        <f>('15. Facility 4 Custom Hiring'!G49/365)*$D$50</f>
        <v>0</v>
      </c>
      <c r="H49" s="190">
        <f>('15. Facility 4 Custom Hiring'!H49/365)*$D$50</f>
        <v>0</v>
      </c>
      <c r="I49" s="190">
        <f>('15. Facility 4 Custom Hiring'!I49/365)*$D$50</f>
        <v>0</v>
      </c>
      <c r="J49" s="190">
        <f>('15. Facility 4 Custom Hiring'!J49/365)*$D$50</f>
        <v>0</v>
      </c>
      <c r="K49" s="190">
        <f>('15. Facility 4 Custom Hiring'!K49/365)*$D$50</f>
        <v>0</v>
      </c>
    </row>
    <row r="50" spans="1:12">
      <c r="B50" s="217">
        <v>3</v>
      </c>
      <c r="C50" s="191" t="str">
        <f t="shared" si="10"/>
        <v>Cleaning &amp; Grading</v>
      </c>
      <c r="D50" s="449">
        <v>7</v>
      </c>
      <c r="E50" s="190">
        <f>(SUM('12.Facility 1 - Trading'!D233:D288)/365)*$D$50</f>
        <v>1054174.1962765285</v>
      </c>
      <c r="F50" s="190">
        <f>(SUM('12.Facility 1 - Trading'!E233:E288)/365)*$D$50</f>
        <v>1165139.9011477418</v>
      </c>
      <c r="G50" s="190">
        <f>(SUM('12.Facility 1 - Trading'!F233:F288)/365)*$D$50</f>
        <v>1284566.7410153856</v>
      </c>
      <c r="H50" s="190">
        <f>(SUM('12.Facility 1 - Trading'!G233:G288)/365)*$D$50</f>
        <v>1413023.4151169241</v>
      </c>
      <c r="I50" s="190">
        <f>(SUM('12.Facility 1 - Trading'!H233:H288)/365)*$D$50</f>
        <v>1551114.3397760787</v>
      </c>
      <c r="J50" s="190">
        <f>(SUM('12.Facility 1 - Trading'!I233:I288)/365)*$D$50</f>
        <v>1699481.7983633562</v>
      </c>
      <c r="K50" s="190">
        <f>(SUM('12.Facility 1 - Trading'!J233:J288)/365)*$D$50</f>
        <v>1858808.2169599205</v>
      </c>
    </row>
    <row r="51" spans="1:12">
      <c r="B51" s="217">
        <v>4</v>
      </c>
      <c r="C51" s="191" t="str">
        <f t="shared" si="10"/>
        <v>Feed Mill</v>
      </c>
      <c r="D51" s="449">
        <v>7</v>
      </c>
      <c r="E51" s="190">
        <f>(SUM('13.Facility 2 Grain Processing'!D154:D173)/365)*$D$51</f>
        <v>98414.557769547479</v>
      </c>
      <c r="F51" s="190">
        <f>(SUM('13.Facility 2 Grain Processing'!E154:E173)/365)*$D$51</f>
        <v>206670.57131604973</v>
      </c>
      <c r="G51" s="190">
        <f>(SUM('13.Facility 2 Grain Processing'!F154:F173)/365)*$D$51</f>
        <v>325506.14982277842</v>
      </c>
      <c r="H51" s="190">
        <f>(SUM('13.Facility 2 Grain Processing'!G154:G173)/365)*$D$51</f>
        <v>455708.6097518896</v>
      </c>
      <c r="I51" s="190">
        <f>(SUM('13.Facility 2 Grain Processing'!H154:H173)/365)*$D$51</f>
        <v>598117.55029935518</v>
      </c>
      <c r="J51" s="190">
        <f>(SUM('13.Facility 2 Grain Processing'!I154:I173)/365)*$D$51</f>
        <v>753628.11337718752</v>
      </c>
      <c r="K51" s="190">
        <f>(SUM('13.Facility 2 Grain Processing'!J154:J173)/365)*$D$51</f>
        <v>923194.4388870548</v>
      </c>
    </row>
    <row r="52" spans="1:12">
      <c r="B52" s="217">
        <v>5</v>
      </c>
      <c r="C52" s="191" t="str">
        <f t="shared" si="10"/>
        <v>Warehouse</v>
      </c>
      <c r="D52" s="449">
        <v>7</v>
      </c>
      <c r="E52" s="190">
        <f>('14. Facility 3 Warehouse'!D34/365)*$D$52</f>
        <v>3544.1095890410957</v>
      </c>
      <c r="F52" s="190">
        <f>('14. Facility 3 Warehouse'!E34/365)*$D$52</f>
        <v>3721.3150684931506</v>
      </c>
      <c r="G52" s="190">
        <f>('14. Facility 3 Warehouse'!F34/365)*$D$52</f>
        <v>3907.3808219178081</v>
      </c>
      <c r="H52" s="190">
        <f>('14. Facility 3 Warehouse'!G34/365)*$D$52</f>
        <v>4102.7498630136997</v>
      </c>
      <c r="I52" s="190">
        <f>('14. Facility 3 Warehouse'!H34/365)*$D$52</f>
        <v>4307.887356164385</v>
      </c>
      <c r="J52" s="190">
        <f>('14. Facility 3 Warehouse'!I34/365)*$D$52</f>
        <v>4523.2817239726037</v>
      </c>
      <c r="K52" s="190">
        <f>('14. Facility 3 Warehouse'!J34/365)*$D$52</f>
        <v>4749.4458101712344</v>
      </c>
    </row>
    <row r="53" spans="1:12">
      <c r="B53" s="217">
        <v>6</v>
      </c>
      <c r="C53" s="191" t="str">
        <f t="shared" si="10"/>
        <v>Processing Unit - Horti Commodity</v>
      </c>
      <c r="D53" s="449">
        <v>7</v>
      </c>
      <c r="E53" s="190">
        <f>(SUM('17.Facility 6 Horti Processing '!D163:D173)/365)*$D$53</f>
        <v>0</v>
      </c>
      <c r="F53" s="190">
        <f>(SUM('17.Facility 6 Horti Processing '!E163:E173)/365)*$D$53</f>
        <v>0</v>
      </c>
      <c r="G53" s="190">
        <f>(SUM('17.Facility 6 Horti Processing '!F163:F173)/365)*$D$53</f>
        <v>0</v>
      </c>
      <c r="H53" s="190">
        <f>(SUM('17.Facility 6 Horti Processing '!G163:G173)/365)*$D$53</f>
        <v>0</v>
      </c>
      <c r="I53" s="190">
        <f>(SUM('17.Facility 6 Horti Processing '!H163:H173)/365)*$D$53</f>
        <v>0</v>
      </c>
      <c r="J53" s="190">
        <f>(SUM('17.Facility 6 Horti Processing '!I163:I173)/365)*$D$53</f>
        <v>0</v>
      </c>
      <c r="K53" s="190">
        <f>(SUM('17.Facility 6 Horti Processing '!J163:J173)/365)*$D$53</f>
        <v>0</v>
      </c>
    </row>
    <row r="54" spans="1:12">
      <c r="B54" s="217"/>
      <c r="C54" s="191"/>
      <c r="D54" s="449"/>
      <c r="E54" s="190"/>
      <c r="F54" s="190"/>
      <c r="G54" s="190"/>
      <c r="H54" s="190"/>
      <c r="I54" s="190"/>
      <c r="J54" s="190"/>
      <c r="K54" s="190"/>
    </row>
    <row r="55" spans="1:12">
      <c r="B55" s="184"/>
      <c r="C55" s="189" t="s">
        <v>1</v>
      </c>
      <c r="D55" s="449"/>
      <c r="E55" s="192">
        <f>SUM(E48:E54)</f>
        <v>1156132.8636351172</v>
      </c>
      <c r="F55" s="192">
        <f t="shared" ref="F55:K55" si="11">SUM(F48:F54)</f>
        <v>1375531.7875322846</v>
      </c>
      <c r="G55" s="192">
        <f t="shared" si="11"/>
        <v>1613980.2716600818</v>
      </c>
      <c r="H55" s="192">
        <f t="shared" si="11"/>
        <v>1872834.7747318274</v>
      </c>
      <c r="I55" s="192">
        <f t="shared" si="11"/>
        <v>2153539.7774315984</v>
      </c>
      <c r="J55" s="192">
        <f t="shared" si="11"/>
        <v>2457633.1934645162</v>
      </c>
      <c r="K55" s="192">
        <f t="shared" si="11"/>
        <v>2786752.1016571466</v>
      </c>
    </row>
    <row r="56" spans="1:12">
      <c r="B56" s="188" t="s">
        <v>173</v>
      </c>
      <c r="C56" s="189" t="s">
        <v>155</v>
      </c>
      <c r="D56" s="449"/>
      <c r="E56" s="192">
        <f>E45-E55</f>
        <v>4214243.4510065131</v>
      </c>
      <c r="F56" s="192">
        <f t="shared" ref="F56:K56" si="12">F45-F55</f>
        <v>5157148.4877783041</v>
      </c>
      <c r="G56" s="192">
        <f t="shared" si="12"/>
        <v>6065923.2056946093</v>
      </c>
      <c r="H56" s="192">
        <f t="shared" si="12"/>
        <v>7052682.5241831001</v>
      </c>
      <c r="I56" s="192">
        <f t="shared" si="12"/>
        <v>8122952.9665062036</v>
      </c>
      <c r="J56" s="192">
        <f t="shared" si="12"/>
        <v>9282618.7467511613</v>
      </c>
      <c r="K56" s="192">
        <f t="shared" si="12"/>
        <v>10537943.722604346</v>
      </c>
    </row>
    <row r="57" spans="1:12">
      <c r="B57" s="188"/>
      <c r="C57" s="189" t="s">
        <v>135</v>
      </c>
      <c r="D57" s="450">
        <v>1</v>
      </c>
      <c r="E57" s="192">
        <f>E56*$D$57</f>
        <v>4214243.4510065131</v>
      </c>
      <c r="F57" s="192">
        <f t="shared" ref="F57:K57" si="13">F56*$D$57</f>
        <v>5157148.4877783041</v>
      </c>
      <c r="G57" s="192">
        <f t="shared" si="13"/>
        <v>6065923.2056946093</v>
      </c>
      <c r="H57" s="192">
        <f t="shared" si="13"/>
        <v>7052682.5241831001</v>
      </c>
      <c r="I57" s="192">
        <f t="shared" si="13"/>
        <v>8122952.9665062036</v>
      </c>
      <c r="J57" s="192">
        <f t="shared" si="13"/>
        <v>9282618.7467511613</v>
      </c>
      <c r="K57" s="192">
        <f t="shared" si="13"/>
        <v>10537943.722604346</v>
      </c>
    </row>
    <row r="59" spans="1:12">
      <c r="E59" s="19"/>
    </row>
    <row r="60" spans="1:12" ht="36.950000000000003" customHeight="1">
      <c r="A60" s="570" t="s">
        <v>393</v>
      </c>
      <c r="B60" s="571"/>
      <c r="C60" s="571"/>
      <c r="D60" s="571"/>
      <c r="E60" s="571"/>
      <c r="F60" s="571"/>
      <c r="G60" s="571"/>
      <c r="H60" s="571"/>
      <c r="I60" s="571"/>
      <c r="J60" s="571"/>
      <c r="K60" s="571"/>
      <c r="L60" s="571"/>
    </row>
    <row r="61" spans="1:12">
      <c r="A61" t="s">
        <v>518</v>
      </c>
    </row>
    <row r="62" spans="1:12">
      <c r="A62">
        <v>1</v>
      </c>
      <c r="B62" t="s">
        <v>519</v>
      </c>
    </row>
    <row r="63" spans="1:12">
      <c r="A63">
        <v>2</v>
      </c>
      <c r="B63" t="s">
        <v>520</v>
      </c>
    </row>
    <row r="64" spans="1:12">
      <c r="A64">
        <v>3</v>
      </c>
      <c r="B64" t="s">
        <v>521</v>
      </c>
    </row>
    <row r="67" spans="5:11">
      <c r="E67" s="19"/>
      <c r="F67" s="52"/>
      <c r="G67" s="52"/>
      <c r="H67" s="52"/>
      <c r="I67" s="52"/>
      <c r="J67" s="52"/>
      <c r="K67" s="52"/>
    </row>
    <row r="68" spans="5:11">
      <c r="E68" s="52"/>
      <c r="G68" s="52"/>
      <c r="H68" s="52"/>
      <c r="I68" s="52"/>
      <c r="J68" s="52"/>
      <c r="K68" s="52"/>
    </row>
    <row r="69" spans="5:11">
      <c r="E69" s="52"/>
      <c r="I69" s="52"/>
      <c r="J69" s="52"/>
      <c r="K69" s="52"/>
    </row>
    <row r="70" spans="5:11">
      <c r="E70" s="19"/>
    </row>
    <row r="71" spans="5:11">
      <c r="E71" s="19"/>
      <c r="F71" s="19"/>
      <c r="G71" s="19"/>
      <c r="H71" s="19"/>
    </row>
  </sheetData>
  <mergeCells count="13">
    <mergeCell ref="N6:R6"/>
    <mergeCell ref="U5:V5"/>
    <mergeCell ref="U6:V6"/>
    <mergeCell ref="C2:K2"/>
    <mergeCell ref="A24:K24"/>
    <mergeCell ref="N5:R5"/>
    <mergeCell ref="A60:L60"/>
    <mergeCell ref="B29:K29"/>
    <mergeCell ref="B31:B32"/>
    <mergeCell ref="C31:C32"/>
    <mergeCell ref="B45:C45"/>
    <mergeCell ref="D31:D32"/>
    <mergeCell ref="E31:K31"/>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P58"/>
  <sheetViews>
    <sheetView view="pageBreakPreview" topLeftCell="A20" zoomScale="80" zoomScaleSheetLayoutView="80" workbookViewId="0">
      <selection activeCell="K44" sqref="K44"/>
    </sheetView>
  </sheetViews>
  <sheetFormatPr defaultRowHeight="15"/>
  <cols>
    <col min="1" max="1" width="40.5703125" bestFit="1" customWidth="1"/>
    <col min="2" max="8" width="14" bestFit="1" customWidth="1"/>
    <col min="9" max="9" width="3.140625" customWidth="1"/>
    <col min="10" max="10" width="12.28515625" bestFit="1" customWidth="1"/>
    <col min="11" max="15" width="11.7109375" bestFit="1" customWidth="1"/>
    <col min="16" max="16" width="12.28515625" bestFit="1" customWidth="1"/>
  </cols>
  <sheetData>
    <row r="2" spans="1:16" ht="18.75">
      <c r="A2" s="565" t="s">
        <v>540</v>
      </c>
      <c r="B2" s="565"/>
      <c r="C2" s="565"/>
      <c r="D2" s="565"/>
      <c r="E2" s="565"/>
      <c r="F2" s="565"/>
      <c r="G2" s="565"/>
      <c r="H2" s="565"/>
    </row>
    <row r="4" spans="1:16">
      <c r="B4" s="2"/>
      <c r="C4" s="2"/>
      <c r="D4" s="2"/>
      <c r="E4" s="2"/>
      <c r="F4" s="2"/>
    </row>
    <row r="5" spans="1:16">
      <c r="A5" s="129" t="s">
        <v>0</v>
      </c>
      <c r="B5" s="101" t="s">
        <v>2</v>
      </c>
      <c r="C5" s="101" t="s">
        <v>3</v>
      </c>
      <c r="D5" s="101" t="s">
        <v>4</v>
      </c>
      <c r="E5" s="101" t="s">
        <v>5</v>
      </c>
      <c r="F5" s="101" t="s">
        <v>6</v>
      </c>
      <c r="G5" s="101" t="s">
        <v>166</v>
      </c>
      <c r="H5" s="101" t="s">
        <v>165</v>
      </c>
    </row>
    <row r="6" spans="1:16">
      <c r="A6" s="78" t="s">
        <v>127</v>
      </c>
      <c r="B6" s="76"/>
      <c r="C6" s="76"/>
      <c r="D6" s="76"/>
      <c r="E6" s="76"/>
      <c r="F6" s="76"/>
      <c r="G6" s="76"/>
      <c r="H6" s="76"/>
    </row>
    <row r="7" spans="1:16">
      <c r="A7" s="76"/>
      <c r="B7" s="76"/>
      <c r="C7" s="76"/>
      <c r="D7" s="76"/>
      <c r="E7" s="76"/>
      <c r="F7" s="76"/>
      <c r="G7" s="76"/>
      <c r="H7" s="76"/>
    </row>
    <row r="8" spans="1:16">
      <c r="A8" s="76" t="s">
        <v>486</v>
      </c>
      <c r="B8" s="77">
        <f>'12.Facility 1 - Trading'!D229</f>
        <v>55908811.900124982</v>
      </c>
      <c r="C8" s="77">
        <f>'12.Facility 1 - Trading'!E229</f>
        <v>64883647.494618751</v>
      </c>
      <c r="D8" s="77">
        <f>'12.Facility 1 - Trading'!F229</f>
        <v>71542758.684855938</v>
      </c>
      <c r="E8" s="77">
        <f>'12.Facility 1 - Trading'!G229</f>
        <v>78705571.875380307</v>
      </c>
      <c r="F8" s="77">
        <f>'12.Facility 1 - Trading'!H229</f>
        <v>86405809.488244981</v>
      </c>
      <c r="G8" s="77">
        <f>'12.Facility 1 - Trading'!I229</f>
        <v>94679306.932707638</v>
      </c>
      <c r="H8" s="77">
        <f>'12.Facility 1 - Trading'!J229</f>
        <v>103564139.59789598</v>
      </c>
      <c r="J8" s="52"/>
      <c r="K8" s="52"/>
      <c r="L8" s="52"/>
      <c r="M8" s="52"/>
      <c r="N8" s="52"/>
      <c r="O8" s="52"/>
      <c r="P8" s="52"/>
    </row>
    <row r="9" spans="1:16">
      <c r="A9" s="76" t="s">
        <v>726</v>
      </c>
      <c r="B9" s="77">
        <f>'13.Facility 2 Grain Processing'!D150</f>
        <v>5760878.365384616</v>
      </c>
      <c r="C9" s="77">
        <f>'13.Facility 2 Grain Processing'!E150</f>
        <v>12188042.237209007</v>
      </c>
      <c r="D9" s="77">
        <f>'13.Facility 2 Grain Processing'!F150</f>
        <v>19243520.300302383</v>
      </c>
      <c r="E9" s="77">
        <f>'13.Facility 2 Grain Processing'!G150</f>
        <v>26974076.064112067</v>
      </c>
      <c r="F9" s="77">
        <f>'13.Facility 2 Grain Processing'!H150</f>
        <v>35429578.603551969</v>
      </c>
      <c r="G9" s="77">
        <f>'13.Facility 2 Grain Processing'!I150</f>
        <v>44663196.206775576</v>
      </c>
      <c r="H9" s="77">
        <f>'13.Facility 2 Grain Processing'!J150</f>
        <v>54731601.623812661</v>
      </c>
      <c r="J9" s="52"/>
      <c r="K9" s="52"/>
      <c r="L9" s="52"/>
      <c r="M9" s="52"/>
      <c r="N9" s="52"/>
      <c r="O9" s="52"/>
    </row>
    <row r="10" spans="1:16">
      <c r="A10" s="76" t="s">
        <v>487</v>
      </c>
      <c r="B10" s="77">
        <f>'14. Facility 3 Warehouse'!D23</f>
        <v>0</v>
      </c>
      <c r="C10" s="77">
        <f>'14. Facility 3 Warehouse'!E23</f>
        <v>0</v>
      </c>
      <c r="D10" s="77">
        <f>'14. Facility 3 Warehouse'!F23</f>
        <v>0</v>
      </c>
      <c r="E10" s="77">
        <f>'14. Facility 3 Warehouse'!G23</f>
        <v>0</v>
      </c>
      <c r="F10" s="77">
        <f>'14. Facility 3 Warehouse'!H23</f>
        <v>0</v>
      </c>
      <c r="G10" s="77">
        <f>'14. Facility 3 Warehouse'!I23</f>
        <v>0</v>
      </c>
      <c r="H10" s="77">
        <f>'14. Facility 3 Warehouse'!J23</f>
        <v>0</v>
      </c>
      <c r="J10" s="52"/>
      <c r="K10" s="52"/>
      <c r="L10" s="52"/>
      <c r="M10" s="52"/>
      <c r="N10" s="52"/>
      <c r="O10" s="52"/>
    </row>
    <row r="11" spans="1:16">
      <c r="A11" s="76" t="s">
        <v>488</v>
      </c>
      <c r="B11" s="77">
        <f>'15. Facility 4 Custom Hiring'!E39</f>
        <v>0</v>
      </c>
      <c r="C11" s="77">
        <f>'15. Facility 4 Custom Hiring'!F39</f>
        <v>0</v>
      </c>
      <c r="D11" s="77">
        <f>'15. Facility 4 Custom Hiring'!G39</f>
        <v>0</v>
      </c>
      <c r="E11" s="77">
        <f>'15. Facility 4 Custom Hiring'!H39</f>
        <v>0</v>
      </c>
      <c r="F11" s="77">
        <f>'15. Facility 4 Custom Hiring'!I39</f>
        <v>0</v>
      </c>
      <c r="G11" s="77">
        <f>'15. Facility 4 Custom Hiring'!J39</f>
        <v>0</v>
      </c>
      <c r="H11" s="77">
        <f>'15. Facility 4 Custom Hiring'!K39</f>
        <v>0</v>
      </c>
      <c r="J11" s="52"/>
      <c r="K11" s="52"/>
      <c r="L11" s="52"/>
      <c r="M11" s="52"/>
      <c r="N11" s="52"/>
      <c r="O11" s="52"/>
    </row>
    <row r="12" spans="1:16">
      <c r="A12" s="76" t="s">
        <v>485</v>
      </c>
      <c r="B12" s="77">
        <f>'16.Facility 5 Agri Input'!D191</f>
        <v>0</v>
      </c>
      <c r="C12" s="77">
        <f>'16.Facility 5 Agri Input'!E191</f>
        <v>0</v>
      </c>
      <c r="D12" s="77">
        <f>'16.Facility 5 Agri Input'!F191</f>
        <v>0</v>
      </c>
      <c r="E12" s="77">
        <f>'16.Facility 5 Agri Input'!G191</f>
        <v>0</v>
      </c>
      <c r="F12" s="77">
        <f>'16.Facility 5 Agri Input'!H191</f>
        <v>0</v>
      </c>
      <c r="G12" s="77">
        <f>'16.Facility 5 Agri Input'!I191</f>
        <v>0</v>
      </c>
      <c r="H12" s="77">
        <f>'16.Facility 5 Agri Input'!J191</f>
        <v>0</v>
      </c>
      <c r="J12" s="52"/>
      <c r="K12" s="52"/>
      <c r="L12" s="52"/>
      <c r="M12" s="52"/>
      <c r="N12" s="52"/>
      <c r="O12" s="52"/>
    </row>
    <row r="13" spans="1:16">
      <c r="A13" s="76" t="s">
        <v>509</v>
      </c>
      <c r="B13" s="77">
        <f>'17.Facility 6 Horti Processing '!D159</f>
        <v>0</v>
      </c>
      <c r="C13" s="77">
        <f>'17.Facility 6 Horti Processing '!E159</f>
        <v>0</v>
      </c>
      <c r="D13" s="77">
        <f>'17.Facility 6 Horti Processing '!F159</f>
        <v>0</v>
      </c>
      <c r="E13" s="77">
        <f>'17.Facility 6 Horti Processing '!G159</f>
        <v>0</v>
      </c>
      <c r="F13" s="77">
        <f>'17.Facility 6 Horti Processing '!H159</f>
        <v>0</v>
      </c>
      <c r="G13" s="77">
        <f>'17.Facility 6 Horti Processing '!I159</f>
        <v>0</v>
      </c>
      <c r="H13" s="77">
        <f>'17.Facility 6 Horti Processing '!J159</f>
        <v>0</v>
      </c>
      <c r="J13" s="52"/>
      <c r="K13" s="52"/>
      <c r="L13" s="52"/>
      <c r="M13" s="52"/>
      <c r="N13" s="52"/>
      <c r="O13" s="52"/>
    </row>
    <row r="14" spans="1:16">
      <c r="A14" s="76"/>
      <c r="B14" s="77"/>
      <c r="C14" s="77"/>
      <c r="D14" s="77"/>
      <c r="E14" s="77"/>
      <c r="F14" s="77"/>
      <c r="G14" s="77"/>
      <c r="H14" s="77"/>
      <c r="J14" s="52"/>
    </row>
    <row r="15" spans="1:16">
      <c r="A15" s="78" t="s">
        <v>142</v>
      </c>
      <c r="B15" s="96">
        <f>SUM(B8:B14)</f>
        <v>61669690.265509598</v>
      </c>
      <c r="C15" s="96">
        <f t="shared" ref="C15:H15" si="0">SUM(C8:C14)</f>
        <v>77071689.731827766</v>
      </c>
      <c r="D15" s="96">
        <f t="shared" si="0"/>
        <v>90786278.985158324</v>
      </c>
      <c r="E15" s="96">
        <f t="shared" si="0"/>
        <v>105679647.93949237</v>
      </c>
      <c r="F15" s="96">
        <f t="shared" si="0"/>
        <v>121835388.09179695</v>
      </c>
      <c r="G15" s="96">
        <f t="shared" si="0"/>
        <v>139342503.13948321</v>
      </c>
      <c r="H15" s="96">
        <f t="shared" si="0"/>
        <v>158295741.22170866</v>
      </c>
    </row>
    <row r="16" spans="1:16">
      <c r="A16" s="76"/>
      <c r="B16" s="77"/>
      <c r="C16" s="77"/>
      <c r="D16" s="77"/>
      <c r="E16" s="77"/>
      <c r="F16" s="77"/>
      <c r="G16" s="77"/>
      <c r="H16" s="77"/>
    </row>
    <row r="17" spans="1:10">
      <c r="A17" s="78" t="s">
        <v>304</v>
      </c>
      <c r="B17" s="77"/>
      <c r="C17" s="77"/>
      <c r="D17" s="77"/>
      <c r="E17" s="77"/>
      <c r="F17" s="77"/>
      <c r="G17" s="77"/>
      <c r="H17" s="77"/>
    </row>
    <row r="18" spans="1:10">
      <c r="A18" s="76" t="str">
        <f t="shared" ref="A18:A23" si="1">A8</f>
        <v>Faclitiy 1 - Cleaning &amp; Grading</v>
      </c>
      <c r="B18" s="77">
        <f>'12.Facility 1 - Trading'!D292</f>
        <v>52219271.794126607</v>
      </c>
      <c r="C18" s="77">
        <f>'12.Facility 1 - Trading'!E292</f>
        <v>60464419.972146593</v>
      </c>
      <c r="D18" s="77">
        <f>'12.Facility 1 - Trading'!F292</f>
        <v>66669617.234718755</v>
      </c>
      <c r="E18" s="77">
        <f>'12.Facility 1 - Trading'!G292</f>
        <v>73344173.173617736</v>
      </c>
      <c r="F18" s="77">
        <f>'12.Facility 1 - Trading'!H292</f>
        <v>80519510.663319871</v>
      </c>
      <c r="G18" s="77">
        <f>'12.Facility 1 - Trading'!I292</f>
        <v>88229021.469058171</v>
      </c>
      <c r="H18" s="77">
        <f>'12.Facility 1 - Trading'!J292</f>
        <v>96508184.578711957</v>
      </c>
    </row>
    <row r="19" spans="1:10">
      <c r="A19" s="76" t="str">
        <f t="shared" si="1"/>
        <v>Faclitiy 2 - Processing Unit- Feed Mill</v>
      </c>
      <c r="B19" s="77">
        <f>'13.Facility 2 Grain Processing'!D177</f>
        <v>4875035.4152272269</v>
      </c>
      <c r="C19" s="77">
        <f>'13.Facility 2 Grain Processing'!E177</f>
        <v>10494155.183304925</v>
      </c>
      <c r="D19" s="77">
        <f>'13.Facility 2 Grain Processing'!F177</f>
        <v>16662999.339652333</v>
      </c>
      <c r="E19" s="77">
        <f>'13.Facility 2 Grain Processing'!G177</f>
        <v>23422492.523676202</v>
      </c>
      <c r="F19" s="77">
        <f>'13.Facility 2 Grain Processing'!H177</f>
        <v>30816277.527753342</v>
      </c>
      <c r="G19" s="77">
        <f>'13.Facility 2 Grain Processing'!I177</f>
        <v>38890884.800928995</v>
      </c>
      <c r="H19" s="77">
        <f>'13.Facility 2 Grain Processing'!J177</f>
        <v>47695912.10760285</v>
      </c>
    </row>
    <row r="20" spans="1:10">
      <c r="A20" s="76" t="str">
        <f t="shared" si="1"/>
        <v>Faclitiy 3 - Warehouse</v>
      </c>
      <c r="B20" s="77">
        <f>'14. Facility 3 Warehouse'!D34</f>
        <v>184800</v>
      </c>
      <c r="C20" s="77">
        <f>'14. Facility 3 Warehouse'!E34</f>
        <v>194040</v>
      </c>
      <c r="D20" s="77">
        <f>'14. Facility 3 Warehouse'!F34</f>
        <v>203742</v>
      </c>
      <c r="E20" s="77">
        <f>'14. Facility 3 Warehouse'!G34</f>
        <v>213929.10000000003</v>
      </c>
      <c r="F20" s="77">
        <f>'14. Facility 3 Warehouse'!H34</f>
        <v>224625.55500000005</v>
      </c>
      <c r="G20" s="77">
        <f>'14. Facility 3 Warehouse'!I34</f>
        <v>235856.83275000006</v>
      </c>
      <c r="H20" s="77">
        <f>'14. Facility 3 Warehouse'!J34</f>
        <v>247649.67438750007</v>
      </c>
    </row>
    <row r="21" spans="1:10">
      <c r="A21" s="76" t="str">
        <f t="shared" si="1"/>
        <v xml:space="preserve">Faclitiy 4 - Custom Hiring </v>
      </c>
      <c r="B21" s="77">
        <f>'15. Facility 4 Custom Hiring'!E49</f>
        <v>0</v>
      </c>
      <c r="C21" s="77">
        <f>'15. Facility 4 Custom Hiring'!F49</f>
        <v>0</v>
      </c>
      <c r="D21" s="77">
        <f>'15. Facility 4 Custom Hiring'!G49</f>
        <v>0</v>
      </c>
      <c r="E21" s="77">
        <f>'15. Facility 4 Custom Hiring'!H49</f>
        <v>0</v>
      </c>
      <c r="F21" s="77">
        <f>'15. Facility 4 Custom Hiring'!I49</f>
        <v>0</v>
      </c>
      <c r="G21" s="77">
        <f>'15. Facility 4 Custom Hiring'!J49</f>
        <v>0</v>
      </c>
      <c r="H21" s="77">
        <f>'15. Facility 4 Custom Hiring'!K49</f>
        <v>0</v>
      </c>
    </row>
    <row r="22" spans="1:10">
      <c r="A22" s="76" t="str">
        <f t="shared" si="1"/>
        <v>Faclitiy 5 - Agri Input Centre</v>
      </c>
      <c r="B22" s="77">
        <f>'16.Facility 5 Agri Input'!D263</f>
        <v>0</v>
      </c>
      <c r="C22" s="77">
        <f>'16.Facility 5 Agri Input'!E263</f>
        <v>0</v>
      </c>
      <c r="D22" s="77">
        <f>'16.Facility 5 Agri Input'!F263</f>
        <v>0</v>
      </c>
      <c r="E22" s="77">
        <f>'16.Facility 5 Agri Input'!G263</f>
        <v>0</v>
      </c>
      <c r="F22" s="77">
        <f>'16.Facility 5 Agri Input'!H263</f>
        <v>0</v>
      </c>
      <c r="G22" s="77">
        <f>'16.Facility 5 Agri Input'!I263</f>
        <v>0</v>
      </c>
      <c r="H22" s="77">
        <f>'16.Facility 5 Agri Input'!J263</f>
        <v>0</v>
      </c>
    </row>
    <row r="23" spans="1:10">
      <c r="A23" s="76" t="str">
        <f t="shared" si="1"/>
        <v>Facility 6 - Processing Unit - Horti Commodity</v>
      </c>
      <c r="B23" s="77">
        <f>'17.Facility 6 Horti Processing '!D177</f>
        <v>0</v>
      </c>
      <c r="C23" s="77">
        <f>'17.Facility 6 Horti Processing '!E177</f>
        <v>0</v>
      </c>
      <c r="D23" s="77">
        <f>'17.Facility 6 Horti Processing '!F177</f>
        <v>0</v>
      </c>
      <c r="E23" s="77">
        <f>'17.Facility 6 Horti Processing '!G177</f>
        <v>0</v>
      </c>
      <c r="F23" s="77">
        <f>'17.Facility 6 Horti Processing '!H177</f>
        <v>0</v>
      </c>
      <c r="G23" s="77">
        <f>'17.Facility 6 Horti Processing '!I177</f>
        <v>0</v>
      </c>
      <c r="H23" s="77">
        <f>'17.Facility 6 Horti Processing '!J177</f>
        <v>0</v>
      </c>
    </row>
    <row r="24" spans="1:10">
      <c r="A24" s="76"/>
      <c r="B24" s="77"/>
      <c r="C24" s="77"/>
      <c r="D24" s="77"/>
      <c r="E24" s="77"/>
      <c r="F24" s="77"/>
      <c r="G24" s="77"/>
      <c r="H24" s="77"/>
    </row>
    <row r="25" spans="1:10">
      <c r="A25" s="78" t="s">
        <v>310</v>
      </c>
      <c r="B25" s="96">
        <f>SUM(B18:B24)</f>
        <v>57279107.209353834</v>
      </c>
      <c r="C25" s="96">
        <f t="shared" ref="C25:H25" si="2">SUM(C18:C24)</f>
        <v>71152615.155451521</v>
      </c>
      <c r="D25" s="96">
        <f t="shared" si="2"/>
        <v>83536358.574371085</v>
      </c>
      <c r="E25" s="96">
        <f t="shared" si="2"/>
        <v>96980594.797293931</v>
      </c>
      <c r="F25" s="96">
        <f t="shared" si="2"/>
        <v>111560413.74607322</v>
      </c>
      <c r="G25" s="96">
        <f t="shared" si="2"/>
        <v>127355763.10273716</v>
      </c>
      <c r="H25" s="96">
        <f t="shared" si="2"/>
        <v>144451746.36070234</v>
      </c>
      <c r="J25" s="19"/>
    </row>
    <row r="26" spans="1:10">
      <c r="A26" s="76"/>
      <c r="B26" s="77"/>
      <c r="C26" s="77"/>
      <c r="D26" s="77"/>
      <c r="E26" s="77"/>
      <c r="F26" s="77"/>
      <c r="G26" s="77"/>
      <c r="H26" s="77"/>
    </row>
    <row r="27" spans="1:10">
      <c r="A27" s="78" t="s">
        <v>302</v>
      </c>
      <c r="B27" s="77"/>
      <c r="C27" s="77"/>
      <c r="D27" s="77"/>
      <c r="E27" s="77"/>
      <c r="F27" s="77"/>
      <c r="G27" s="77"/>
      <c r="H27" s="77"/>
    </row>
    <row r="28" spans="1:10">
      <c r="A28" s="76" t="str">
        <f t="shared" ref="A28:A33" si="3">A18</f>
        <v>Faclitiy 1 - Cleaning &amp; Grading</v>
      </c>
      <c r="B28" s="77">
        <f>'12.Facility 1 - Trading'!D301</f>
        <v>396000</v>
      </c>
      <c r="C28" s="77">
        <f>'12.Facility 1 - Trading'!E301</f>
        <v>415800</v>
      </c>
      <c r="D28" s="77">
        <f>'12.Facility 1 - Trading'!F301</f>
        <v>436590</v>
      </c>
      <c r="E28" s="77">
        <f>'12.Facility 1 - Trading'!G301</f>
        <v>458419.50000000006</v>
      </c>
      <c r="F28" s="77">
        <f>'12.Facility 1 - Trading'!H301</f>
        <v>481340.47500000009</v>
      </c>
      <c r="G28" s="77">
        <f>'12.Facility 1 - Trading'!I301</f>
        <v>505407.49875000014</v>
      </c>
      <c r="H28" s="77">
        <f>'12.Facility 1 - Trading'!J301</f>
        <v>530677.87368750013</v>
      </c>
    </row>
    <row r="29" spans="1:10">
      <c r="A29" s="76" t="str">
        <f t="shared" si="3"/>
        <v>Faclitiy 2 - Processing Unit- Feed Mill</v>
      </c>
      <c r="B29" s="77">
        <f>'13.Facility 2 Grain Processing'!D185</f>
        <v>684000</v>
      </c>
      <c r="C29" s="77">
        <f>'13.Facility 2 Grain Processing'!E185</f>
        <v>718200</v>
      </c>
      <c r="D29" s="77">
        <f>'13.Facility 2 Grain Processing'!F185</f>
        <v>754110</v>
      </c>
      <c r="E29" s="77">
        <f>'13.Facility 2 Grain Processing'!G185</f>
        <v>791815.50000000012</v>
      </c>
      <c r="F29" s="77">
        <f>'13.Facility 2 Grain Processing'!H185</f>
        <v>831406.27500000014</v>
      </c>
      <c r="G29" s="77">
        <f>'13.Facility 2 Grain Processing'!I185</f>
        <v>872976.58875000023</v>
      </c>
      <c r="H29" s="77">
        <f>'13.Facility 2 Grain Processing'!J185</f>
        <v>916625.41818750021</v>
      </c>
    </row>
    <row r="30" spans="1:10">
      <c r="A30" s="76" t="str">
        <f t="shared" si="3"/>
        <v>Faclitiy 3 - Warehouse</v>
      </c>
      <c r="B30" s="77">
        <f>'14. Facility 3 Warehouse'!D43</f>
        <v>180000</v>
      </c>
      <c r="C30" s="77">
        <f>'14. Facility 3 Warehouse'!E43</f>
        <v>189000</v>
      </c>
      <c r="D30" s="77">
        <f>'14. Facility 3 Warehouse'!F43</f>
        <v>198450</v>
      </c>
      <c r="E30" s="77">
        <f>'14. Facility 3 Warehouse'!G43</f>
        <v>208372.50000000006</v>
      </c>
      <c r="F30" s="77">
        <f>'14. Facility 3 Warehouse'!H43</f>
        <v>218791.12500000006</v>
      </c>
      <c r="G30" s="77">
        <f>'14. Facility 3 Warehouse'!I43</f>
        <v>229730.68125000005</v>
      </c>
      <c r="H30" s="77">
        <f>'14. Facility 3 Warehouse'!J43</f>
        <v>241217.21531250008</v>
      </c>
    </row>
    <row r="31" spans="1:10">
      <c r="A31" s="76" t="str">
        <f t="shared" si="3"/>
        <v xml:space="preserve">Faclitiy 4 - Custom Hiring </v>
      </c>
      <c r="B31" s="77">
        <f>'15. Facility 4 Custom Hiring'!E56</f>
        <v>0</v>
      </c>
      <c r="C31" s="77">
        <f>'15. Facility 4 Custom Hiring'!F56</f>
        <v>0</v>
      </c>
      <c r="D31" s="77">
        <f>'15. Facility 4 Custom Hiring'!G56</f>
        <v>0</v>
      </c>
      <c r="E31" s="77">
        <f>'15. Facility 4 Custom Hiring'!H56</f>
        <v>0</v>
      </c>
      <c r="F31" s="77">
        <f>'15. Facility 4 Custom Hiring'!I56</f>
        <v>0</v>
      </c>
      <c r="G31" s="77">
        <f>'15. Facility 4 Custom Hiring'!J56</f>
        <v>0</v>
      </c>
      <c r="H31" s="77">
        <f>'15. Facility 4 Custom Hiring'!K56</f>
        <v>0</v>
      </c>
    </row>
    <row r="32" spans="1:10">
      <c r="A32" s="76" t="str">
        <f t="shared" si="3"/>
        <v>Faclitiy 5 - Agri Input Centre</v>
      </c>
      <c r="B32" s="77">
        <f>'16.Facility 5 Agri Input'!D274</f>
        <v>0</v>
      </c>
      <c r="C32" s="77">
        <f>'16.Facility 5 Agri Input'!E274</f>
        <v>0</v>
      </c>
      <c r="D32" s="77">
        <f>'16.Facility 5 Agri Input'!F274</f>
        <v>0</v>
      </c>
      <c r="E32" s="77">
        <f>'16.Facility 5 Agri Input'!G274</f>
        <v>0</v>
      </c>
      <c r="F32" s="77">
        <f>'16.Facility 5 Agri Input'!H274</f>
        <v>0</v>
      </c>
      <c r="G32" s="77">
        <f>'16.Facility 5 Agri Input'!I274</f>
        <v>0</v>
      </c>
      <c r="H32" s="77">
        <f>'16.Facility 5 Agri Input'!J274</f>
        <v>0</v>
      </c>
    </row>
    <row r="33" spans="1:10">
      <c r="A33" s="76" t="str">
        <f t="shared" si="3"/>
        <v>Facility 6 - Processing Unit - Horti Commodity</v>
      </c>
      <c r="B33" s="77">
        <f>'17.Facility 6 Horti Processing '!D185</f>
        <v>0</v>
      </c>
      <c r="C33" s="77">
        <f>'17.Facility 6 Horti Processing '!E185</f>
        <v>0</v>
      </c>
      <c r="D33" s="77">
        <f>'17.Facility 6 Horti Processing '!F185</f>
        <v>0</v>
      </c>
      <c r="E33" s="77">
        <f>'17.Facility 6 Horti Processing '!G185</f>
        <v>0</v>
      </c>
      <c r="F33" s="77">
        <f>'17.Facility 6 Horti Processing '!H185</f>
        <v>0</v>
      </c>
      <c r="G33" s="77">
        <f>'17.Facility 6 Horti Processing '!I185</f>
        <v>0</v>
      </c>
      <c r="H33" s="77">
        <f>'17.Facility 6 Horti Processing '!J185</f>
        <v>0</v>
      </c>
    </row>
    <row r="34" spans="1:10">
      <c r="A34" s="76"/>
      <c r="B34" s="77"/>
      <c r="C34" s="77"/>
      <c r="D34" s="77"/>
      <c r="E34" s="77"/>
      <c r="F34" s="77"/>
      <c r="G34" s="77"/>
      <c r="H34" s="77"/>
    </row>
    <row r="35" spans="1:10">
      <c r="A35" s="76" t="s">
        <v>9</v>
      </c>
      <c r="B35" s="77">
        <f>'3.Other Exp &amp; Taxes'!E23</f>
        <v>1066000</v>
      </c>
      <c r="C35" s="77">
        <f>'3.Other Exp &amp; Taxes'!F23</f>
        <v>1119300</v>
      </c>
      <c r="D35" s="77">
        <f>'3.Other Exp &amp; Taxes'!G23</f>
        <v>1175265</v>
      </c>
      <c r="E35" s="77">
        <f>'3.Other Exp &amp; Taxes'!H23</f>
        <v>1234028.2500000002</v>
      </c>
      <c r="F35" s="77">
        <f>'3.Other Exp &amp; Taxes'!I23</f>
        <v>1295729.6624999999</v>
      </c>
      <c r="G35" s="77">
        <f>'3.Other Exp &amp; Taxes'!J23</f>
        <v>1360516.1456250006</v>
      </c>
      <c r="H35" s="77">
        <f>'3.Other Exp &amp; Taxes'!K23</f>
        <v>1428541.9529062503</v>
      </c>
    </row>
    <row r="36" spans="1:10">
      <c r="A36" s="78" t="s">
        <v>313</v>
      </c>
      <c r="B36" s="442">
        <f t="shared" ref="B36:H36" si="4">SUM(B28:B35)</f>
        <v>2326000</v>
      </c>
      <c r="C36" s="96">
        <f t="shared" si="4"/>
        <v>2442300</v>
      </c>
      <c r="D36" s="96">
        <f t="shared" si="4"/>
        <v>2564415</v>
      </c>
      <c r="E36" s="96">
        <f t="shared" si="4"/>
        <v>2692635.7500000005</v>
      </c>
      <c r="F36" s="96">
        <f t="shared" si="4"/>
        <v>2827267.5375000001</v>
      </c>
      <c r="G36" s="96">
        <f t="shared" si="4"/>
        <v>2968630.9143750011</v>
      </c>
      <c r="H36" s="96">
        <f t="shared" si="4"/>
        <v>3117062.4600937506</v>
      </c>
    </row>
    <row r="37" spans="1:10">
      <c r="A37" s="76"/>
      <c r="B37" s="77"/>
      <c r="C37" s="77"/>
      <c r="D37" s="77"/>
      <c r="E37" s="77"/>
      <c r="F37" s="77"/>
      <c r="G37" s="77"/>
      <c r="H37" s="77"/>
    </row>
    <row r="38" spans="1:10">
      <c r="A38" s="78" t="s">
        <v>317</v>
      </c>
      <c r="B38" s="96">
        <f t="shared" ref="B38:H38" si="5">B25+B36</f>
        <v>59605107.209353834</v>
      </c>
      <c r="C38" s="96">
        <f t="shared" si="5"/>
        <v>73594915.155451521</v>
      </c>
      <c r="D38" s="96">
        <f t="shared" si="5"/>
        <v>86100773.574371085</v>
      </c>
      <c r="E38" s="96">
        <f t="shared" si="5"/>
        <v>99673230.547293931</v>
      </c>
      <c r="F38" s="96">
        <f t="shared" si="5"/>
        <v>114387681.28357321</v>
      </c>
      <c r="G38" s="96">
        <f t="shared" si="5"/>
        <v>130324394.01711217</v>
      </c>
      <c r="H38" s="96">
        <f t="shared" si="5"/>
        <v>147568808.82079607</v>
      </c>
    </row>
    <row r="39" spans="1:10">
      <c r="A39" s="76"/>
      <c r="B39" s="77"/>
      <c r="C39" s="77"/>
      <c r="D39" s="77"/>
      <c r="E39" s="77"/>
      <c r="F39" s="77"/>
      <c r="G39" s="77"/>
      <c r="H39" s="77"/>
    </row>
    <row r="40" spans="1:10">
      <c r="A40" s="78" t="s">
        <v>137</v>
      </c>
      <c r="B40" s="96">
        <f t="shared" ref="B40:H40" si="6">B15-B38</f>
        <v>2064583.0561557636</v>
      </c>
      <c r="C40" s="96">
        <f t="shared" si="6"/>
        <v>3476774.5763762444</v>
      </c>
      <c r="D40" s="96">
        <f t="shared" si="6"/>
        <v>4685505.4107872397</v>
      </c>
      <c r="E40" s="96">
        <f t="shared" si="6"/>
        <v>6006417.3921984434</v>
      </c>
      <c r="F40" s="96">
        <f t="shared" si="6"/>
        <v>7447706.8082237393</v>
      </c>
      <c r="G40" s="96">
        <f t="shared" si="6"/>
        <v>9018109.1223710477</v>
      </c>
      <c r="H40" s="96">
        <f t="shared" si="6"/>
        <v>10726932.400912583</v>
      </c>
      <c r="J40" s="435">
        <f>B49+B42+B43</f>
        <v>1592184.6986214542</v>
      </c>
    </row>
    <row r="41" spans="1:10">
      <c r="A41" s="76"/>
      <c r="B41" s="77"/>
      <c r="C41" s="77"/>
      <c r="D41" s="77"/>
      <c r="E41" s="77"/>
      <c r="F41" s="77"/>
      <c r="G41" s="77"/>
      <c r="H41" s="77"/>
      <c r="J41" s="435">
        <f>'5.Closing Stock &amp; W Capital'!E57</f>
        <v>4214243.4510065131</v>
      </c>
    </row>
    <row r="42" spans="1:10">
      <c r="A42" s="80" t="s">
        <v>17</v>
      </c>
      <c r="B42" s="443">
        <f>+'3.Other Exp &amp; Taxes'!K66</f>
        <v>2321086.0109999999</v>
      </c>
      <c r="C42" s="77">
        <f>+'3.Other Exp &amp; Taxes'!L66</f>
        <v>1905225.412339</v>
      </c>
      <c r="D42" s="77">
        <f>+'3.Other Exp &amp; Taxes'!M66</f>
        <v>1576812.7276190149</v>
      </c>
      <c r="E42" s="77">
        <f>+'3.Other Exp &amp; Taxes'!N66</f>
        <v>1314933.8647945458</v>
      </c>
      <c r="F42" s="77">
        <f>+'3.Other Exp &amp; Taxes'!O66</f>
        <v>1104170.4406287007</v>
      </c>
      <c r="G42" s="77">
        <f>+'3.Other Exp &amp; Taxes'!P66</f>
        <v>933059.36382816546</v>
      </c>
      <c r="H42" s="77">
        <f>+'3.Other Exp &amp; Taxes'!Q66</f>
        <v>793002.753828204</v>
      </c>
      <c r="J42" s="435">
        <f>J40+J41</f>
        <v>5806428.1496279668</v>
      </c>
    </row>
    <row r="43" spans="1:10">
      <c r="A43" s="80" t="s">
        <v>138</v>
      </c>
      <c r="B43" s="443">
        <f>'3.Other Exp &amp; Taxes'!C86</f>
        <v>62486</v>
      </c>
      <c r="C43" s="77">
        <f>'3.Other Exp &amp; Taxes'!D86</f>
        <v>62486</v>
      </c>
      <c r="D43" s="77">
        <f>'3.Other Exp &amp; Taxes'!E86</f>
        <v>62486</v>
      </c>
      <c r="E43" s="77">
        <f>'3.Other Exp &amp; Taxes'!F86</f>
        <v>62486</v>
      </c>
      <c r="F43" s="77">
        <f>'3.Other Exp &amp; Taxes'!G86</f>
        <v>62486</v>
      </c>
      <c r="G43" s="77">
        <f>'3.Other Exp &amp; Taxes'!H86</f>
        <v>0</v>
      </c>
      <c r="H43" s="77">
        <f>'3.Other Exp &amp; Taxes'!I86</f>
        <v>0</v>
      </c>
    </row>
    <row r="44" spans="1:10">
      <c r="A44" s="76"/>
      <c r="B44" s="77"/>
      <c r="C44" s="77"/>
      <c r="D44" s="77"/>
      <c r="E44" s="77"/>
      <c r="F44" s="77"/>
      <c r="G44" s="77"/>
      <c r="H44" s="77"/>
    </row>
    <row r="45" spans="1:10">
      <c r="A45" s="78" t="s">
        <v>139</v>
      </c>
      <c r="B45" s="96">
        <f>B40-B42-B43</f>
        <v>-318988.95484423637</v>
      </c>
      <c r="C45" s="96">
        <f t="shared" ref="C45:H45" si="7">C40-C42-C43</f>
        <v>1509063.1640372444</v>
      </c>
      <c r="D45" s="96">
        <f t="shared" si="7"/>
        <v>3046206.683168225</v>
      </c>
      <c r="E45" s="96">
        <f t="shared" si="7"/>
        <v>4628997.5274038976</v>
      </c>
      <c r="F45" s="96">
        <f t="shared" si="7"/>
        <v>6281050.3675950384</v>
      </c>
      <c r="G45" s="96">
        <f t="shared" si="7"/>
        <v>8085049.7585428823</v>
      </c>
      <c r="H45" s="96">
        <f t="shared" si="7"/>
        <v>9933929.6470843796</v>
      </c>
    </row>
    <row r="46" spans="1:10">
      <c r="A46" s="76"/>
      <c r="B46" s="77"/>
      <c r="C46" s="77"/>
      <c r="D46" s="77"/>
      <c r="E46" s="77"/>
      <c r="F46" s="77"/>
      <c r="G46" s="77"/>
      <c r="H46" s="77"/>
    </row>
    <row r="47" spans="1:10">
      <c r="A47" s="76" t="s">
        <v>24</v>
      </c>
      <c r="B47" s="443">
        <f>'8.Cash Flow '!C27+'8.Cash Flow '!C29</f>
        <v>472398.35753430944</v>
      </c>
      <c r="C47" s="77">
        <f>'8.Cash Flow '!D27+'8.Cash Flow '!D29</f>
        <v>393923.15922343364</v>
      </c>
      <c r="D47" s="77">
        <f>'8.Cash Flow '!E27+'8.Cash Flow '!E29</f>
        <v>294608.25714663719</v>
      </c>
      <c r="E47" s="77">
        <f>'8.Cash Flow '!F27+'8.Cash Flow '!F29</f>
        <v>186246.18249455866</v>
      </c>
      <c r="F47" s="77">
        <f>'8.Cash Flow '!G27+'8.Cash Flow '!G29</f>
        <v>68012.775650712472</v>
      </c>
      <c r="G47" s="77">
        <f>'8.Cash Flow '!H27+'8.Cash Flow '!H29</f>
        <v>-2.3065764852689081E-10</v>
      </c>
      <c r="H47" s="77">
        <f>'8.Cash Flow '!I27+'8.Cash Flow '!I29</f>
        <v>-2.5166959646616277E-10</v>
      </c>
    </row>
    <row r="48" spans="1:10">
      <c r="A48" s="76"/>
      <c r="B48" s="77"/>
      <c r="C48" s="77"/>
      <c r="D48" s="77"/>
      <c r="E48" s="77"/>
      <c r="F48" s="77"/>
      <c r="G48" s="77"/>
      <c r="H48" s="77"/>
    </row>
    <row r="49" spans="1:9">
      <c r="A49" s="76" t="s">
        <v>25</v>
      </c>
      <c r="B49" s="77">
        <f>B45-B47</f>
        <v>-791387.31237854576</v>
      </c>
      <c r="C49" s="77">
        <f t="shared" ref="C49:H49" si="8">C45-C47</f>
        <v>1115140.0048138108</v>
      </c>
      <c r="D49" s="77">
        <f t="shared" si="8"/>
        <v>2751598.426021588</v>
      </c>
      <c r="E49" s="77">
        <f t="shared" si="8"/>
        <v>4442751.3449093392</v>
      </c>
      <c r="F49" s="77">
        <f t="shared" si="8"/>
        <v>6213037.5919443257</v>
      </c>
      <c r="G49" s="77">
        <f t="shared" si="8"/>
        <v>8085049.7585428823</v>
      </c>
      <c r="H49" s="77">
        <f t="shared" si="8"/>
        <v>9933929.6470843796</v>
      </c>
    </row>
    <row r="50" spans="1:9">
      <c r="A50" s="76" t="s">
        <v>26</v>
      </c>
      <c r="B50" s="77" t="str">
        <f>'3.Other Exp &amp; Taxes'!B99</f>
        <v>0</v>
      </c>
      <c r="C50" s="77">
        <f>'3.Other Exp &amp; Taxes'!C99</f>
        <v>289936.40125159081</v>
      </c>
      <c r="D50" s="77">
        <f>'3.Other Exp &amp; Taxes'!D99</f>
        <v>715415.5907656129</v>
      </c>
      <c r="E50" s="77">
        <f>'3.Other Exp &amp; Taxes'!E99</f>
        <v>1155115.3496764281</v>
      </c>
      <c r="F50" s="77">
        <f>'3.Other Exp &amp; Taxes'!F99</f>
        <v>1615389.7739055248</v>
      </c>
      <c r="G50" s="77">
        <f>'3.Other Exp &amp; Taxes'!G99</f>
        <v>2102112.9372211494</v>
      </c>
      <c r="H50" s="77">
        <f>'3.Other Exp &amp; Taxes'!H99</f>
        <v>2582821.7082419386</v>
      </c>
    </row>
    <row r="51" spans="1:9">
      <c r="A51" s="78" t="s">
        <v>28</v>
      </c>
      <c r="B51" s="77">
        <f>B49-B50</f>
        <v>-791387.31237854576</v>
      </c>
      <c r="C51" s="77">
        <f>C49-C50</f>
        <v>825203.60356222</v>
      </c>
      <c r="D51" s="77">
        <f>D49-D50</f>
        <v>2036182.8352559751</v>
      </c>
      <c r="E51" s="77">
        <f>E49-E50</f>
        <v>3287635.9952329108</v>
      </c>
      <c r="F51" s="77">
        <f>F49-F50</f>
        <v>4597647.8180388007</v>
      </c>
      <c r="G51" s="77">
        <f t="shared" ref="G51:H51" si="9">G49-G50</f>
        <v>5982936.8213217333</v>
      </c>
      <c r="H51" s="77">
        <f t="shared" si="9"/>
        <v>7351107.938842441</v>
      </c>
    </row>
    <row r="52" spans="1:9">
      <c r="A52" s="76" t="s">
        <v>687</v>
      </c>
      <c r="B52" s="77">
        <f>+B51*0.25</f>
        <v>-197846.82809463644</v>
      </c>
      <c r="C52" s="77">
        <f t="shared" ref="C52:H52" si="10">+C51*0.25</f>
        <v>206300.900890555</v>
      </c>
      <c r="D52" s="77">
        <f t="shared" si="10"/>
        <v>509045.70881399378</v>
      </c>
      <c r="E52" s="77">
        <f t="shared" si="10"/>
        <v>821908.99880822771</v>
      </c>
      <c r="F52" s="77">
        <f t="shared" si="10"/>
        <v>1149411.9545097002</v>
      </c>
      <c r="G52" s="77">
        <f t="shared" si="10"/>
        <v>1495734.2053304333</v>
      </c>
      <c r="H52" s="77">
        <f t="shared" si="10"/>
        <v>1837776.9847106102</v>
      </c>
    </row>
    <row r="53" spans="1:9">
      <c r="A53" s="76" t="s">
        <v>489</v>
      </c>
      <c r="B53" s="77">
        <f>B51</f>
        <v>-791387.31237854576</v>
      </c>
      <c r="C53" s="77">
        <f t="shared" ref="C53:H53" si="11">B53+C51</f>
        <v>33816.291183674242</v>
      </c>
      <c r="D53" s="77">
        <f t="shared" si="11"/>
        <v>2069999.1264396494</v>
      </c>
      <c r="E53" s="77">
        <f t="shared" si="11"/>
        <v>5357635.1216725605</v>
      </c>
      <c r="F53" s="77">
        <f t="shared" si="11"/>
        <v>9955282.9397113621</v>
      </c>
      <c r="G53" s="77">
        <f t="shared" si="11"/>
        <v>15938219.761033095</v>
      </c>
      <c r="H53" s="77">
        <f t="shared" si="11"/>
        <v>23289327.699875537</v>
      </c>
    </row>
    <row r="54" spans="1:9">
      <c r="A54" s="78" t="s">
        <v>688</v>
      </c>
      <c r="B54" s="261">
        <f>+B51-B52</f>
        <v>-593540.48428390932</v>
      </c>
      <c r="C54" s="261">
        <f t="shared" ref="C54:H54" si="12">+C51-C52</f>
        <v>618902.702671665</v>
      </c>
      <c r="D54" s="261">
        <f t="shared" si="12"/>
        <v>1527137.1264419814</v>
      </c>
      <c r="E54" s="261">
        <f t="shared" si="12"/>
        <v>2465726.9964246834</v>
      </c>
      <c r="F54" s="261">
        <f t="shared" si="12"/>
        <v>3448235.8635291005</v>
      </c>
      <c r="G54" s="261">
        <f t="shared" si="12"/>
        <v>4487202.6159913</v>
      </c>
      <c r="H54" s="261">
        <f t="shared" si="12"/>
        <v>5513330.9541318305</v>
      </c>
    </row>
    <row r="55" spans="1:9">
      <c r="B55" s="19">
        <f>+B51/B15*100</f>
        <v>-1.2832678564970028</v>
      </c>
      <c r="C55" s="19">
        <f t="shared" ref="C55:H55" si="13">+C51/C15*100</f>
        <v>1.0706961355505888</v>
      </c>
      <c r="D55" s="19">
        <f t="shared" si="13"/>
        <v>2.242831029112724</v>
      </c>
      <c r="E55" s="19">
        <f t="shared" si="13"/>
        <v>3.1109452570425575</v>
      </c>
      <c r="F55" s="19">
        <f t="shared" si="13"/>
        <v>3.7736554953760235</v>
      </c>
      <c r="G55" s="19">
        <f t="shared" si="13"/>
        <v>4.2936912187753329</v>
      </c>
      <c r="H55" s="19">
        <f t="shared" si="13"/>
        <v>4.6439075884843275</v>
      </c>
    </row>
    <row r="56" spans="1:9" ht="32.450000000000003" customHeight="1">
      <c r="A56" s="582" t="s">
        <v>387</v>
      </c>
      <c r="B56" s="582"/>
      <c r="C56" s="582"/>
      <c r="D56" s="582"/>
      <c r="E56" s="582"/>
      <c r="F56" s="582"/>
      <c r="G56" s="582"/>
      <c r="H56" s="582"/>
      <c r="I56" s="582"/>
    </row>
    <row r="58" spans="1:9">
      <c r="A58" s="223"/>
    </row>
  </sheetData>
  <mergeCells count="2">
    <mergeCell ref="A2:H2"/>
    <mergeCell ref="A56:I5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50"/>
  <sheetViews>
    <sheetView view="pageBreakPreview" zoomScale="80" zoomScaleSheetLayoutView="80" workbookViewId="0">
      <selection sqref="A1:F1"/>
    </sheetView>
  </sheetViews>
  <sheetFormatPr defaultRowHeight="15"/>
  <cols>
    <col min="1" max="1" width="37.28515625" style="42" customWidth="1"/>
    <col min="2" max="2" width="18.42578125" style="42" bestFit="1" customWidth="1"/>
    <col min="3" max="3" width="13.85546875" style="42" bestFit="1" customWidth="1"/>
    <col min="4" max="6" width="13.5703125" style="42" bestFit="1" customWidth="1"/>
    <col min="7" max="8" width="12.42578125" style="42" bestFit="1" customWidth="1"/>
    <col min="9" max="9" width="9.140625" style="42"/>
    <col min="10" max="10" width="32.85546875" style="42" bestFit="1" customWidth="1"/>
    <col min="11" max="16" width="8.7109375" style="42" bestFit="1"/>
    <col min="17" max="17" width="10.140625" style="42" bestFit="1" customWidth="1"/>
    <col min="18" max="256" width="9.140625" style="42"/>
    <col min="257" max="257" width="37.28515625" style="42" customWidth="1"/>
    <col min="258" max="258" width="18.42578125" style="42" bestFit="1" customWidth="1"/>
    <col min="259" max="262" width="12.42578125" style="42" bestFit="1" customWidth="1"/>
    <col min="263" max="263" width="11.7109375" style="42" bestFit="1" customWidth="1"/>
    <col min="264" max="512" width="9.140625" style="42"/>
    <col min="513" max="513" width="37.28515625" style="42" customWidth="1"/>
    <col min="514" max="514" width="18.42578125" style="42" bestFit="1" customWidth="1"/>
    <col min="515" max="518" width="12.42578125" style="42" bestFit="1" customWidth="1"/>
    <col min="519" max="519" width="11.7109375" style="42" bestFit="1" customWidth="1"/>
    <col min="520" max="768" width="9.140625" style="42"/>
    <col min="769" max="769" width="37.28515625" style="42" customWidth="1"/>
    <col min="770" max="770" width="18.42578125" style="42" bestFit="1" customWidth="1"/>
    <col min="771" max="774" width="12.42578125" style="42" bestFit="1" customWidth="1"/>
    <col min="775" max="775" width="11.7109375" style="42" bestFit="1" customWidth="1"/>
    <col min="776" max="1024" width="9.140625" style="42"/>
    <col min="1025" max="1025" width="37.28515625" style="42" customWidth="1"/>
    <col min="1026" max="1026" width="18.42578125" style="42" bestFit="1" customWidth="1"/>
    <col min="1027" max="1030" width="12.42578125" style="42" bestFit="1" customWidth="1"/>
    <col min="1031" max="1031" width="11.7109375" style="42" bestFit="1" customWidth="1"/>
    <col min="1032" max="1280" width="9.140625" style="42"/>
    <col min="1281" max="1281" width="37.28515625" style="42" customWidth="1"/>
    <col min="1282" max="1282" width="18.42578125" style="42" bestFit="1" customWidth="1"/>
    <col min="1283" max="1286" width="12.42578125" style="42" bestFit="1" customWidth="1"/>
    <col min="1287" max="1287" width="11.7109375" style="42" bestFit="1" customWidth="1"/>
    <col min="1288" max="1536" width="9.140625" style="42"/>
    <col min="1537" max="1537" width="37.28515625" style="42" customWidth="1"/>
    <col min="1538" max="1538" width="18.42578125" style="42" bestFit="1" customWidth="1"/>
    <col min="1539" max="1542" width="12.42578125" style="42" bestFit="1" customWidth="1"/>
    <col min="1543" max="1543" width="11.7109375" style="42" bestFit="1" customWidth="1"/>
    <col min="1544" max="1792" width="9.140625" style="42"/>
    <col min="1793" max="1793" width="37.28515625" style="42" customWidth="1"/>
    <col min="1794" max="1794" width="18.42578125" style="42" bestFit="1" customWidth="1"/>
    <col min="1795" max="1798" width="12.42578125" style="42" bestFit="1" customWidth="1"/>
    <col min="1799" max="1799" width="11.7109375" style="42" bestFit="1" customWidth="1"/>
    <col min="1800" max="2048" width="9.140625" style="42"/>
    <col min="2049" max="2049" width="37.28515625" style="42" customWidth="1"/>
    <col min="2050" max="2050" width="18.42578125" style="42" bestFit="1" customWidth="1"/>
    <col min="2051" max="2054" width="12.42578125" style="42" bestFit="1" customWidth="1"/>
    <col min="2055" max="2055" width="11.7109375" style="42" bestFit="1" customWidth="1"/>
    <col min="2056" max="2304" width="9.140625" style="42"/>
    <col min="2305" max="2305" width="37.28515625" style="42" customWidth="1"/>
    <col min="2306" max="2306" width="18.42578125" style="42" bestFit="1" customWidth="1"/>
    <col min="2307" max="2310" width="12.42578125" style="42" bestFit="1" customWidth="1"/>
    <col min="2311" max="2311" width="11.7109375" style="42" bestFit="1" customWidth="1"/>
    <col min="2312" max="2560" width="9.140625" style="42"/>
    <col min="2561" max="2561" width="37.28515625" style="42" customWidth="1"/>
    <col min="2562" max="2562" width="18.42578125" style="42" bestFit="1" customWidth="1"/>
    <col min="2563" max="2566" width="12.42578125" style="42" bestFit="1" customWidth="1"/>
    <col min="2567" max="2567" width="11.7109375" style="42" bestFit="1" customWidth="1"/>
    <col min="2568" max="2816" width="9.140625" style="42"/>
    <col min="2817" max="2817" width="37.28515625" style="42" customWidth="1"/>
    <col min="2818" max="2818" width="18.42578125" style="42" bestFit="1" customWidth="1"/>
    <col min="2819" max="2822" width="12.42578125" style="42" bestFit="1" customWidth="1"/>
    <col min="2823" max="2823" width="11.7109375" style="42" bestFit="1" customWidth="1"/>
    <col min="2824" max="3072" width="9.140625" style="42"/>
    <col min="3073" max="3073" width="37.28515625" style="42" customWidth="1"/>
    <col min="3074" max="3074" width="18.42578125" style="42" bestFit="1" customWidth="1"/>
    <col min="3075" max="3078" width="12.42578125" style="42" bestFit="1" customWidth="1"/>
    <col min="3079" max="3079" width="11.7109375" style="42" bestFit="1" customWidth="1"/>
    <col min="3080" max="3328" width="9.140625" style="42"/>
    <col min="3329" max="3329" width="37.28515625" style="42" customWidth="1"/>
    <col min="3330" max="3330" width="18.42578125" style="42" bestFit="1" customWidth="1"/>
    <col min="3331" max="3334" width="12.42578125" style="42" bestFit="1" customWidth="1"/>
    <col min="3335" max="3335" width="11.7109375" style="42" bestFit="1" customWidth="1"/>
    <col min="3336" max="3584" width="9.140625" style="42"/>
    <col min="3585" max="3585" width="37.28515625" style="42" customWidth="1"/>
    <col min="3586" max="3586" width="18.42578125" style="42" bestFit="1" customWidth="1"/>
    <col min="3587" max="3590" width="12.42578125" style="42" bestFit="1" customWidth="1"/>
    <col min="3591" max="3591" width="11.7109375" style="42" bestFit="1" customWidth="1"/>
    <col min="3592" max="3840" width="9.140625" style="42"/>
    <col min="3841" max="3841" width="37.28515625" style="42" customWidth="1"/>
    <col min="3842" max="3842" width="18.42578125" style="42" bestFit="1" customWidth="1"/>
    <col min="3843" max="3846" width="12.42578125" style="42" bestFit="1" customWidth="1"/>
    <col min="3847" max="3847" width="11.7109375" style="42" bestFit="1" customWidth="1"/>
    <col min="3848" max="4096" width="9.140625" style="42"/>
    <col min="4097" max="4097" width="37.28515625" style="42" customWidth="1"/>
    <col min="4098" max="4098" width="18.42578125" style="42" bestFit="1" customWidth="1"/>
    <col min="4099" max="4102" width="12.42578125" style="42" bestFit="1" customWidth="1"/>
    <col min="4103" max="4103" width="11.7109375" style="42" bestFit="1" customWidth="1"/>
    <col min="4104" max="4352" width="9.140625" style="42"/>
    <col min="4353" max="4353" width="37.28515625" style="42" customWidth="1"/>
    <col min="4354" max="4354" width="18.42578125" style="42" bestFit="1" customWidth="1"/>
    <col min="4355" max="4358" width="12.42578125" style="42" bestFit="1" customWidth="1"/>
    <col min="4359" max="4359" width="11.7109375" style="42" bestFit="1" customWidth="1"/>
    <col min="4360" max="4608" width="9.140625" style="42"/>
    <col min="4609" max="4609" width="37.28515625" style="42" customWidth="1"/>
    <col min="4610" max="4610" width="18.42578125" style="42" bestFit="1" customWidth="1"/>
    <col min="4611" max="4614" width="12.42578125" style="42" bestFit="1" customWidth="1"/>
    <col min="4615" max="4615" width="11.7109375" style="42" bestFit="1" customWidth="1"/>
    <col min="4616" max="4864" width="9.140625" style="42"/>
    <col min="4865" max="4865" width="37.28515625" style="42" customWidth="1"/>
    <col min="4866" max="4866" width="18.42578125" style="42" bestFit="1" customWidth="1"/>
    <col min="4867" max="4870" width="12.42578125" style="42" bestFit="1" customWidth="1"/>
    <col min="4871" max="4871" width="11.7109375" style="42" bestFit="1" customWidth="1"/>
    <col min="4872" max="5120" width="9.140625" style="42"/>
    <col min="5121" max="5121" width="37.28515625" style="42" customWidth="1"/>
    <col min="5122" max="5122" width="18.42578125" style="42" bestFit="1" customWidth="1"/>
    <col min="5123" max="5126" width="12.42578125" style="42" bestFit="1" customWidth="1"/>
    <col min="5127" max="5127" width="11.7109375" style="42" bestFit="1" customWidth="1"/>
    <col min="5128" max="5376" width="9.140625" style="42"/>
    <col min="5377" max="5377" width="37.28515625" style="42" customWidth="1"/>
    <col min="5378" max="5378" width="18.42578125" style="42" bestFit="1" customWidth="1"/>
    <col min="5379" max="5382" width="12.42578125" style="42" bestFit="1" customWidth="1"/>
    <col min="5383" max="5383" width="11.7109375" style="42" bestFit="1" customWidth="1"/>
    <col min="5384" max="5632" width="9.140625" style="42"/>
    <col min="5633" max="5633" width="37.28515625" style="42" customWidth="1"/>
    <col min="5634" max="5634" width="18.42578125" style="42" bestFit="1" customWidth="1"/>
    <col min="5635" max="5638" width="12.42578125" style="42" bestFit="1" customWidth="1"/>
    <col min="5639" max="5639" width="11.7109375" style="42" bestFit="1" customWidth="1"/>
    <col min="5640" max="5888" width="9.140625" style="42"/>
    <col min="5889" max="5889" width="37.28515625" style="42" customWidth="1"/>
    <col min="5890" max="5890" width="18.42578125" style="42" bestFit="1" customWidth="1"/>
    <col min="5891" max="5894" width="12.42578125" style="42" bestFit="1" customWidth="1"/>
    <col min="5895" max="5895" width="11.7109375" style="42" bestFit="1" customWidth="1"/>
    <col min="5896" max="6144" width="9.140625" style="42"/>
    <col min="6145" max="6145" width="37.28515625" style="42" customWidth="1"/>
    <col min="6146" max="6146" width="18.42578125" style="42" bestFit="1" customWidth="1"/>
    <col min="6147" max="6150" width="12.42578125" style="42" bestFit="1" customWidth="1"/>
    <col min="6151" max="6151" width="11.7109375" style="42" bestFit="1" customWidth="1"/>
    <col min="6152" max="6400" width="9.140625" style="42"/>
    <col min="6401" max="6401" width="37.28515625" style="42" customWidth="1"/>
    <col min="6402" max="6402" width="18.42578125" style="42" bestFit="1" customWidth="1"/>
    <col min="6403" max="6406" width="12.42578125" style="42" bestFit="1" customWidth="1"/>
    <col min="6407" max="6407" width="11.7109375" style="42" bestFit="1" customWidth="1"/>
    <col min="6408" max="6656" width="9.140625" style="42"/>
    <col min="6657" max="6657" width="37.28515625" style="42" customWidth="1"/>
    <col min="6658" max="6658" width="18.42578125" style="42" bestFit="1" customWidth="1"/>
    <col min="6659" max="6662" width="12.42578125" style="42" bestFit="1" customWidth="1"/>
    <col min="6663" max="6663" width="11.7109375" style="42" bestFit="1" customWidth="1"/>
    <col min="6664" max="6912" width="9.140625" style="42"/>
    <col min="6913" max="6913" width="37.28515625" style="42" customWidth="1"/>
    <col min="6914" max="6914" width="18.42578125" style="42" bestFit="1" customWidth="1"/>
    <col min="6915" max="6918" width="12.42578125" style="42" bestFit="1" customWidth="1"/>
    <col min="6919" max="6919" width="11.7109375" style="42" bestFit="1" customWidth="1"/>
    <col min="6920" max="7168" width="9.140625" style="42"/>
    <col min="7169" max="7169" width="37.28515625" style="42" customWidth="1"/>
    <col min="7170" max="7170" width="18.42578125" style="42" bestFit="1" customWidth="1"/>
    <col min="7171" max="7174" width="12.42578125" style="42" bestFit="1" customWidth="1"/>
    <col min="7175" max="7175" width="11.7109375" style="42" bestFit="1" customWidth="1"/>
    <col min="7176" max="7424" width="9.140625" style="42"/>
    <col min="7425" max="7425" width="37.28515625" style="42" customWidth="1"/>
    <col min="7426" max="7426" width="18.42578125" style="42" bestFit="1" customWidth="1"/>
    <col min="7427" max="7430" width="12.42578125" style="42" bestFit="1" customWidth="1"/>
    <col min="7431" max="7431" width="11.7109375" style="42" bestFit="1" customWidth="1"/>
    <col min="7432" max="7680" width="9.140625" style="42"/>
    <col min="7681" max="7681" width="37.28515625" style="42" customWidth="1"/>
    <col min="7682" max="7682" width="18.42578125" style="42" bestFit="1" customWidth="1"/>
    <col min="7683" max="7686" width="12.42578125" style="42" bestFit="1" customWidth="1"/>
    <col min="7687" max="7687" width="11.7109375" style="42" bestFit="1" customWidth="1"/>
    <col min="7688" max="7936" width="9.140625" style="42"/>
    <col min="7937" max="7937" width="37.28515625" style="42" customWidth="1"/>
    <col min="7938" max="7938" width="18.42578125" style="42" bestFit="1" customWidth="1"/>
    <col min="7939" max="7942" width="12.42578125" style="42" bestFit="1" customWidth="1"/>
    <col min="7943" max="7943" width="11.7109375" style="42" bestFit="1" customWidth="1"/>
    <col min="7944" max="8192" width="9.140625" style="42"/>
    <col min="8193" max="8193" width="37.28515625" style="42" customWidth="1"/>
    <col min="8194" max="8194" width="18.42578125" style="42" bestFit="1" customWidth="1"/>
    <col min="8195" max="8198" width="12.42578125" style="42" bestFit="1" customWidth="1"/>
    <col min="8199" max="8199" width="11.7109375" style="42" bestFit="1" customWidth="1"/>
    <col min="8200" max="8448" width="9.140625" style="42"/>
    <col min="8449" max="8449" width="37.28515625" style="42" customWidth="1"/>
    <col min="8450" max="8450" width="18.42578125" style="42" bestFit="1" customWidth="1"/>
    <col min="8451" max="8454" width="12.42578125" style="42" bestFit="1" customWidth="1"/>
    <col min="8455" max="8455" width="11.7109375" style="42" bestFit="1" customWidth="1"/>
    <col min="8456" max="8704" width="9.140625" style="42"/>
    <col min="8705" max="8705" width="37.28515625" style="42" customWidth="1"/>
    <col min="8706" max="8706" width="18.42578125" style="42" bestFit="1" customWidth="1"/>
    <col min="8707" max="8710" width="12.42578125" style="42" bestFit="1" customWidth="1"/>
    <col min="8711" max="8711" width="11.7109375" style="42" bestFit="1" customWidth="1"/>
    <col min="8712" max="8960" width="9.140625" style="42"/>
    <col min="8961" max="8961" width="37.28515625" style="42" customWidth="1"/>
    <col min="8962" max="8962" width="18.42578125" style="42" bestFit="1" customWidth="1"/>
    <col min="8963" max="8966" width="12.42578125" style="42" bestFit="1" customWidth="1"/>
    <col min="8967" max="8967" width="11.7109375" style="42" bestFit="1" customWidth="1"/>
    <col min="8968" max="9216" width="9.140625" style="42"/>
    <col min="9217" max="9217" width="37.28515625" style="42" customWidth="1"/>
    <col min="9218" max="9218" width="18.42578125" style="42" bestFit="1" customWidth="1"/>
    <col min="9219" max="9222" width="12.42578125" style="42" bestFit="1" customWidth="1"/>
    <col min="9223" max="9223" width="11.7109375" style="42" bestFit="1" customWidth="1"/>
    <col min="9224" max="9472" width="9.140625" style="42"/>
    <col min="9473" max="9473" width="37.28515625" style="42" customWidth="1"/>
    <col min="9474" max="9474" width="18.42578125" style="42" bestFit="1" customWidth="1"/>
    <col min="9475" max="9478" width="12.42578125" style="42" bestFit="1" customWidth="1"/>
    <col min="9479" max="9479" width="11.7109375" style="42" bestFit="1" customWidth="1"/>
    <col min="9480" max="9728" width="9.140625" style="42"/>
    <col min="9729" max="9729" width="37.28515625" style="42" customWidth="1"/>
    <col min="9730" max="9730" width="18.42578125" style="42" bestFit="1" customWidth="1"/>
    <col min="9731" max="9734" width="12.42578125" style="42" bestFit="1" customWidth="1"/>
    <col min="9735" max="9735" width="11.7109375" style="42" bestFit="1" customWidth="1"/>
    <col min="9736" max="9984" width="9.140625" style="42"/>
    <col min="9985" max="9985" width="37.28515625" style="42" customWidth="1"/>
    <col min="9986" max="9986" width="18.42578125" style="42" bestFit="1" customWidth="1"/>
    <col min="9987" max="9990" width="12.42578125" style="42" bestFit="1" customWidth="1"/>
    <col min="9991" max="9991" width="11.7109375" style="42" bestFit="1" customWidth="1"/>
    <col min="9992" max="10240" width="9.140625" style="42"/>
    <col min="10241" max="10241" width="37.28515625" style="42" customWidth="1"/>
    <col min="10242" max="10242" width="18.42578125" style="42" bestFit="1" customWidth="1"/>
    <col min="10243" max="10246" width="12.42578125" style="42" bestFit="1" customWidth="1"/>
    <col min="10247" max="10247" width="11.7109375" style="42" bestFit="1" customWidth="1"/>
    <col min="10248" max="10496" width="9.140625" style="42"/>
    <col min="10497" max="10497" width="37.28515625" style="42" customWidth="1"/>
    <col min="10498" max="10498" width="18.42578125" style="42" bestFit="1" customWidth="1"/>
    <col min="10499" max="10502" width="12.42578125" style="42" bestFit="1" customWidth="1"/>
    <col min="10503" max="10503" width="11.7109375" style="42" bestFit="1" customWidth="1"/>
    <col min="10504" max="10752" width="9.140625" style="42"/>
    <col min="10753" max="10753" width="37.28515625" style="42" customWidth="1"/>
    <col min="10754" max="10754" width="18.42578125" style="42" bestFit="1" customWidth="1"/>
    <col min="10755" max="10758" width="12.42578125" style="42" bestFit="1" customWidth="1"/>
    <col min="10759" max="10759" width="11.7109375" style="42" bestFit="1" customWidth="1"/>
    <col min="10760" max="11008" width="9.140625" style="42"/>
    <col min="11009" max="11009" width="37.28515625" style="42" customWidth="1"/>
    <col min="11010" max="11010" width="18.42578125" style="42" bestFit="1" customWidth="1"/>
    <col min="11011" max="11014" width="12.42578125" style="42" bestFit="1" customWidth="1"/>
    <col min="11015" max="11015" width="11.7109375" style="42" bestFit="1" customWidth="1"/>
    <col min="11016" max="11264" width="9.140625" style="42"/>
    <col min="11265" max="11265" width="37.28515625" style="42" customWidth="1"/>
    <col min="11266" max="11266" width="18.42578125" style="42" bestFit="1" customWidth="1"/>
    <col min="11267" max="11270" width="12.42578125" style="42" bestFit="1" customWidth="1"/>
    <col min="11271" max="11271" width="11.7109375" style="42" bestFit="1" customWidth="1"/>
    <col min="11272" max="11520" width="9.140625" style="42"/>
    <col min="11521" max="11521" width="37.28515625" style="42" customWidth="1"/>
    <col min="11522" max="11522" width="18.42578125" style="42" bestFit="1" customWidth="1"/>
    <col min="11523" max="11526" width="12.42578125" style="42" bestFit="1" customWidth="1"/>
    <col min="11527" max="11527" width="11.7109375" style="42" bestFit="1" customWidth="1"/>
    <col min="11528" max="11776" width="9.140625" style="42"/>
    <col min="11777" max="11777" width="37.28515625" style="42" customWidth="1"/>
    <col min="11778" max="11778" width="18.42578125" style="42" bestFit="1" customWidth="1"/>
    <col min="11779" max="11782" width="12.42578125" style="42" bestFit="1" customWidth="1"/>
    <col min="11783" max="11783" width="11.7109375" style="42" bestFit="1" customWidth="1"/>
    <col min="11784" max="12032" width="9.140625" style="42"/>
    <col min="12033" max="12033" width="37.28515625" style="42" customWidth="1"/>
    <col min="12034" max="12034" width="18.42578125" style="42" bestFit="1" customWidth="1"/>
    <col min="12035" max="12038" width="12.42578125" style="42" bestFit="1" customWidth="1"/>
    <col min="12039" max="12039" width="11.7109375" style="42" bestFit="1" customWidth="1"/>
    <col min="12040" max="12288" width="9.140625" style="42"/>
    <col min="12289" max="12289" width="37.28515625" style="42" customWidth="1"/>
    <col min="12290" max="12290" width="18.42578125" style="42" bestFit="1" customWidth="1"/>
    <col min="12291" max="12294" width="12.42578125" style="42" bestFit="1" customWidth="1"/>
    <col min="12295" max="12295" width="11.7109375" style="42" bestFit="1" customWidth="1"/>
    <col min="12296" max="12544" width="9.140625" style="42"/>
    <col min="12545" max="12545" width="37.28515625" style="42" customWidth="1"/>
    <col min="12546" max="12546" width="18.42578125" style="42" bestFit="1" customWidth="1"/>
    <col min="12547" max="12550" width="12.42578125" style="42" bestFit="1" customWidth="1"/>
    <col min="12551" max="12551" width="11.7109375" style="42" bestFit="1" customWidth="1"/>
    <col min="12552" max="12800" width="9.140625" style="42"/>
    <col min="12801" max="12801" width="37.28515625" style="42" customWidth="1"/>
    <col min="12802" max="12802" width="18.42578125" style="42" bestFit="1" customWidth="1"/>
    <col min="12803" max="12806" width="12.42578125" style="42" bestFit="1" customWidth="1"/>
    <col min="12807" max="12807" width="11.7109375" style="42" bestFit="1" customWidth="1"/>
    <col min="12808" max="13056" width="9.140625" style="42"/>
    <col min="13057" max="13057" width="37.28515625" style="42" customWidth="1"/>
    <col min="13058" max="13058" width="18.42578125" style="42" bestFit="1" customWidth="1"/>
    <col min="13059" max="13062" width="12.42578125" style="42" bestFit="1" customWidth="1"/>
    <col min="13063" max="13063" width="11.7109375" style="42" bestFit="1" customWidth="1"/>
    <col min="13064" max="13312" width="9.140625" style="42"/>
    <col min="13313" max="13313" width="37.28515625" style="42" customWidth="1"/>
    <col min="13314" max="13314" width="18.42578125" style="42" bestFit="1" customWidth="1"/>
    <col min="13315" max="13318" width="12.42578125" style="42" bestFit="1" customWidth="1"/>
    <col min="13319" max="13319" width="11.7109375" style="42" bestFit="1" customWidth="1"/>
    <col min="13320" max="13568" width="9.140625" style="42"/>
    <col min="13569" max="13569" width="37.28515625" style="42" customWidth="1"/>
    <col min="13570" max="13570" width="18.42578125" style="42" bestFit="1" customWidth="1"/>
    <col min="13571" max="13574" width="12.42578125" style="42" bestFit="1" customWidth="1"/>
    <col min="13575" max="13575" width="11.7109375" style="42" bestFit="1" customWidth="1"/>
    <col min="13576" max="13824" width="9.140625" style="42"/>
    <col min="13825" max="13825" width="37.28515625" style="42" customWidth="1"/>
    <col min="13826" max="13826" width="18.42578125" style="42" bestFit="1" customWidth="1"/>
    <col min="13827" max="13830" width="12.42578125" style="42" bestFit="1" customWidth="1"/>
    <col min="13831" max="13831" width="11.7109375" style="42" bestFit="1" customWidth="1"/>
    <col min="13832" max="14080" width="9.140625" style="42"/>
    <col min="14081" max="14081" width="37.28515625" style="42" customWidth="1"/>
    <col min="14082" max="14082" width="18.42578125" style="42" bestFit="1" customWidth="1"/>
    <col min="14083" max="14086" width="12.42578125" style="42" bestFit="1" customWidth="1"/>
    <col min="14087" max="14087" width="11.7109375" style="42" bestFit="1" customWidth="1"/>
    <col min="14088" max="14336" width="9.140625" style="42"/>
    <col min="14337" max="14337" width="37.28515625" style="42" customWidth="1"/>
    <col min="14338" max="14338" width="18.42578125" style="42" bestFit="1" customWidth="1"/>
    <col min="14339" max="14342" width="12.42578125" style="42" bestFit="1" customWidth="1"/>
    <col min="14343" max="14343" width="11.7109375" style="42" bestFit="1" customWidth="1"/>
    <col min="14344" max="14592" width="9.140625" style="42"/>
    <col min="14593" max="14593" width="37.28515625" style="42" customWidth="1"/>
    <col min="14594" max="14594" width="18.42578125" style="42" bestFit="1" customWidth="1"/>
    <col min="14595" max="14598" width="12.42578125" style="42" bestFit="1" customWidth="1"/>
    <col min="14599" max="14599" width="11.7109375" style="42" bestFit="1" customWidth="1"/>
    <col min="14600" max="14848" width="9.140625" style="42"/>
    <col min="14849" max="14849" width="37.28515625" style="42" customWidth="1"/>
    <col min="14850" max="14850" width="18.42578125" style="42" bestFit="1" customWidth="1"/>
    <col min="14851" max="14854" width="12.42578125" style="42" bestFit="1" customWidth="1"/>
    <col min="14855" max="14855" width="11.7109375" style="42" bestFit="1" customWidth="1"/>
    <col min="14856" max="15104" width="9.140625" style="42"/>
    <col min="15105" max="15105" width="37.28515625" style="42" customWidth="1"/>
    <col min="15106" max="15106" width="18.42578125" style="42" bestFit="1" customWidth="1"/>
    <col min="15107" max="15110" width="12.42578125" style="42" bestFit="1" customWidth="1"/>
    <col min="15111" max="15111" width="11.7109375" style="42" bestFit="1" customWidth="1"/>
    <col min="15112" max="15360" width="9.140625" style="42"/>
    <col min="15361" max="15361" width="37.28515625" style="42" customWidth="1"/>
    <col min="15362" max="15362" width="18.42578125" style="42" bestFit="1" customWidth="1"/>
    <col min="15363" max="15366" width="12.42578125" style="42" bestFit="1" customWidth="1"/>
    <col min="15367" max="15367" width="11.7109375" style="42" bestFit="1" customWidth="1"/>
    <col min="15368" max="15616" width="9.140625" style="42"/>
    <col min="15617" max="15617" width="37.28515625" style="42" customWidth="1"/>
    <col min="15618" max="15618" width="18.42578125" style="42" bestFit="1" customWidth="1"/>
    <col min="15619" max="15622" width="12.42578125" style="42" bestFit="1" customWidth="1"/>
    <col min="15623" max="15623" width="11.7109375" style="42" bestFit="1" customWidth="1"/>
    <col min="15624" max="15872" width="9.140625" style="42"/>
    <col min="15873" max="15873" width="37.28515625" style="42" customWidth="1"/>
    <col min="15874" max="15874" width="18.42578125" style="42" bestFit="1" customWidth="1"/>
    <col min="15875" max="15878" width="12.42578125" style="42" bestFit="1" customWidth="1"/>
    <col min="15879" max="15879" width="11.7109375" style="42" bestFit="1" customWidth="1"/>
    <col min="15880" max="16128" width="9.140625" style="42"/>
    <col min="16129" max="16129" width="37.28515625" style="42" customWidth="1"/>
    <col min="16130" max="16130" width="18.42578125" style="42" bestFit="1" customWidth="1"/>
    <col min="16131" max="16134" width="12.42578125" style="42" bestFit="1" customWidth="1"/>
    <col min="16135" max="16135" width="11.7109375" style="42" bestFit="1" customWidth="1"/>
    <col min="16136" max="16384" width="9.140625" style="42"/>
  </cols>
  <sheetData>
    <row r="1" spans="1:18">
      <c r="A1" s="566"/>
      <c r="B1" s="566"/>
      <c r="C1" s="566"/>
      <c r="D1" s="566"/>
      <c r="E1" s="566"/>
      <c r="F1" s="566"/>
    </row>
    <row r="2" spans="1:18" ht="18.75">
      <c r="A2" s="583" t="s">
        <v>541</v>
      </c>
      <c r="B2" s="565"/>
      <c r="C2" s="565"/>
      <c r="D2" s="565"/>
      <c r="E2" s="565"/>
      <c r="F2" s="565"/>
      <c r="G2" s="565"/>
      <c r="H2" s="565"/>
      <c r="I2" s="67"/>
    </row>
    <row r="3" spans="1:18">
      <c r="A3" s="68"/>
      <c r="B3" s="44"/>
      <c r="C3" s="44"/>
      <c r="D3" s="44"/>
      <c r="E3" s="44"/>
      <c r="F3" s="44"/>
    </row>
    <row r="4" spans="1:18">
      <c r="A4" s="99" t="s">
        <v>0</v>
      </c>
      <c r="B4" s="100" t="s">
        <v>2</v>
      </c>
      <c r="C4" s="100" t="s">
        <v>3</v>
      </c>
      <c r="D4" s="100" t="s">
        <v>4</v>
      </c>
      <c r="E4" s="100" t="s">
        <v>5</v>
      </c>
      <c r="F4" s="100" t="s">
        <v>6</v>
      </c>
      <c r="G4" s="101" t="s">
        <v>166</v>
      </c>
      <c r="H4" s="101" t="s">
        <v>165</v>
      </c>
    </row>
    <row r="5" spans="1:18" s="43" customFormat="1">
      <c r="A5" s="102"/>
      <c r="B5" s="103"/>
      <c r="C5" s="104"/>
      <c r="D5" s="104"/>
      <c r="E5" s="104"/>
      <c r="F5" s="104"/>
      <c r="G5" s="104"/>
      <c r="H5" s="104"/>
    </row>
    <row r="6" spans="1:18">
      <c r="A6" s="105" t="s">
        <v>49</v>
      </c>
      <c r="B6" s="106"/>
      <c r="C6" s="106"/>
      <c r="D6" s="106"/>
      <c r="E6" s="106"/>
      <c r="F6" s="106"/>
      <c r="G6" s="106"/>
      <c r="H6" s="106"/>
    </row>
    <row r="7" spans="1:18">
      <c r="A7" s="107" t="s">
        <v>50</v>
      </c>
      <c r="B7" s="108"/>
      <c r="C7" s="108"/>
      <c r="D7" s="108"/>
      <c r="E7" s="108"/>
      <c r="F7" s="108"/>
      <c r="G7" s="108"/>
      <c r="H7" s="108"/>
    </row>
    <row r="8" spans="1:18">
      <c r="A8" s="109" t="s">
        <v>242</v>
      </c>
      <c r="B8" s="110">
        <f>'8.Cash Flow '!C37</f>
        <v>1279543.3943004459</v>
      </c>
      <c r="C8" s="110">
        <f>'8.Cash Flow '!D37</f>
        <v>1833027.9087378383</v>
      </c>
      <c r="D8" s="110">
        <f>'8.Cash Flow '!E37</f>
        <v>2901149.5790042132</v>
      </c>
      <c r="E8" s="110">
        <f>'8.Cash Flow '!F37</f>
        <v>4459635.5812045634</v>
      </c>
      <c r="F8" s="110">
        <f>'8.Cash Flow '!G37</f>
        <v>6588122.4956650436</v>
      </c>
      <c r="G8" s="110">
        <f>'8.Cash Flow '!H37</f>
        <v>10848718.695239544</v>
      </c>
      <c r="H8" s="110">
        <f>'8.Cash Flow '!I37</f>
        <v>15899727.427346408</v>
      </c>
      <c r="K8" s="53"/>
      <c r="L8" s="53"/>
      <c r="M8" s="53"/>
      <c r="N8" s="53"/>
      <c r="O8" s="53"/>
      <c r="P8" s="53"/>
      <c r="Q8" s="53"/>
      <c r="R8" s="53"/>
    </row>
    <row r="9" spans="1:18">
      <c r="A9" s="111" t="s">
        <v>243</v>
      </c>
      <c r="B9" s="112">
        <f>'5.Closing Stock &amp; W Capital'!E42</f>
        <v>2365412.7773072175</v>
      </c>
      <c r="C9" s="112">
        <f>'5.Closing Stock &amp; W Capital'!F42</f>
        <v>2956174.4006728455</v>
      </c>
      <c r="D9" s="112">
        <f>'5.Closing Stock &amp; W Capital'!G42</f>
        <v>3482213.4405266205</v>
      </c>
      <c r="E9" s="112">
        <f>'5.Closing Stock &amp; W Capital'!H42</f>
        <v>4053465.9483640911</v>
      </c>
      <c r="F9" s="112">
        <f>'5.Closing Stock &amp; W Capital'!I42</f>
        <v>4673138.1733839931</v>
      </c>
      <c r="G9" s="112">
        <f>'5.Closing Stock &amp; W Capital'!J42</f>
        <v>5344643.9560349733</v>
      </c>
      <c r="H9" s="112">
        <f>'5.Closing Stock &amp; W Capital'!K42</f>
        <v>6071617.4715175917</v>
      </c>
      <c r="K9" s="53"/>
      <c r="L9" s="53"/>
      <c r="M9" s="53"/>
      <c r="N9" s="53"/>
      <c r="O9" s="53"/>
      <c r="P9" s="53"/>
      <c r="Q9" s="53"/>
      <c r="R9" s="53"/>
    </row>
    <row r="10" spans="1:18">
      <c r="A10" s="111" t="s">
        <v>578</v>
      </c>
      <c r="B10" s="112">
        <f>'5.Closing Stock &amp; W Capital'!E21</f>
        <v>3004963.5373344128</v>
      </c>
      <c r="C10" s="112">
        <f>'5.Closing Stock &amp; W Capital'!F21</f>
        <v>3576505.874637743</v>
      </c>
      <c r="D10" s="112">
        <f>'5.Closing Stock &amp; W Capital'!G21</f>
        <v>4197690.0368280709</v>
      </c>
      <c r="E10" s="112">
        <f>'5.Closing Stock &amp; W Capital'!H21</f>
        <v>4872051.350550836</v>
      </c>
      <c r="F10" s="112">
        <f>'5.Closing Stock &amp; W Capital'!I21</f>
        <v>5603354.5705538094</v>
      </c>
      <c r="G10" s="112">
        <f>'5.Closing Stock &amp; W Capital'!J21</f>
        <v>6395607.9841807028</v>
      </c>
      <c r="H10" s="112">
        <f>'5.Closing Stock &amp; W Capital'!K21</f>
        <v>7253078.3527439004</v>
      </c>
      <c r="K10" s="53"/>
      <c r="L10" s="53"/>
      <c r="M10" s="53"/>
      <c r="N10" s="53"/>
      <c r="O10" s="53"/>
      <c r="P10" s="53"/>
      <c r="Q10" s="53"/>
      <c r="R10" s="53"/>
    </row>
    <row r="11" spans="1:18">
      <c r="A11" s="107" t="s">
        <v>244</v>
      </c>
      <c r="B11" s="110">
        <f t="shared" ref="B11:H11" si="0">SUM(B8:B10)</f>
        <v>6649919.7089420762</v>
      </c>
      <c r="C11" s="110">
        <f t="shared" si="0"/>
        <v>8365708.1840484273</v>
      </c>
      <c r="D11" s="110">
        <f t="shared" si="0"/>
        <v>10581053.056358904</v>
      </c>
      <c r="E11" s="110">
        <f t="shared" si="0"/>
        <v>13385152.88011949</v>
      </c>
      <c r="F11" s="110">
        <f t="shared" si="0"/>
        <v>16864615.239602845</v>
      </c>
      <c r="G11" s="110">
        <f t="shared" si="0"/>
        <v>22588970.635455221</v>
      </c>
      <c r="H11" s="110">
        <f t="shared" si="0"/>
        <v>29224423.251607902</v>
      </c>
    </row>
    <row r="12" spans="1:18">
      <c r="A12" s="107"/>
      <c r="B12" s="112"/>
      <c r="C12" s="112"/>
      <c r="D12" s="112"/>
      <c r="E12" s="112"/>
      <c r="F12" s="112"/>
      <c r="G12" s="112"/>
      <c r="H12" s="112"/>
      <c r="J12" s="53"/>
      <c r="K12" s="53"/>
      <c r="L12" s="53"/>
      <c r="M12" s="53"/>
      <c r="N12" s="53"/>
      <c r="O12" s="53"/>
      <c r="P12" s="53"/>
      <c r="Q12" s="53"/>
    </row>
    <row r="13" spans="1:18">
      <c r="A13" s="113" t="s">
        <v>245</v>
      </c>
      <c r="B13" s="112">
        <f>+'3.Other Exp &amp; Taxes'!K65</f>
        <v>15414109</v>
      </c>
      <c r="C13" s="112">
        <f>+'3.Other Exp &amp; Taxes'!L65</f>
        <v>13093022.989</v>
      </c>
      <c r="D13" s="112">
        <f>+'3.Other Exp &amp; Taxes'!M65</f>
        <v>11187797.576661</v>
      </c>
      <c r="E13" s="112">
        <f>+'3.Other Exp &amp; Taxes'!N65</f>
        <v>9610984.8490419835</v>
      </c>
      <c r="F13" s="112">
        <f>+'3.Other Exp &amp; Taxes'!O65</f>
        <v>8296050.9842474386</v>
      </c>
      <c r="G13" s="112">
        <f>+'3.Other Exp &amp; Taxes'!P65</f>
        <v>7191880.5436187387</v>
      </c>
      <c r="H13" s="112">
        <f>+'3.Other Exp &amp; Taxes'!Q65</f>
        <v>6258821.1797905732</v>
      </c>
    </row>
    <row r="14" spans="1:18">
      <c r="A14" s="113" t="s">
        <v>246</v>
      </c>
      <c r="B14" s="112">
        <f>+'3.Other Exp &amp; Taxes'!K66</f>
        <v>2321086.0109999999</v>
      </c>
      <c r="C14" s="112">
        <f>+'3.Other Exp &amp; Taxes'!L66</f>
        <v>1905225.412339</v>
      </c>
      <c r="D14" s="112">
        <f>+'3.Other Exp &amp; Taxes'!M66</f>
        <v>1576812.7276190149</v>
      </c>
      <c r="E14" s="112">
        <f>+'3.Other Exp &amp; Taxes'!N66</f>
        <v>1314933.8647945458</v>
      </c>
      <c r="F14" s="112">
        <f>+'3.Other Exp &amp; Taxes'!O66</f>
        <v>1104170.4406287007</v>
      </c>
      <c r="G14" s="112">
        <f>+'3.Other Exp &amp; Taxes'!P66</f>
        <v>933059.36382816546</v>
      </c>
      <c r="H14" s="112">
        <f>+'3.Other Exp &amp; Taxes'!Q66</f>
        <v>793002.753828204</v>
      </c>
      <c r="K14" s="53"/>
      <c r="L14" s="53"/>
      <c r="M14" s="53"/>
      <c r="N14" s="53"/>
      <c r="O14" s="53"/>
      <c r="P14" s="53"/>
      <c r="Q14" s="53"/>
    </row>
    <row r="15" spans="1:18" s="44" customFormat="1">
      <c r="A15" s="107" t="s">
        <v>194</v>
      </c>
      <c r="B15" s="110">
        <f t="shared" ref="B15:H15" si="1">B13-B14</f>
        <v>13093022.989</v>
      </c>
      <c r="C15" s="110">
        <f t="shared" si="1"/>
        <v>11187797.576661</v>
      </c>
      <c r="D15" s="110">
        <f t="shared" si="1"/>
        <v>9610984.8490419853</v>
      </c>
      <c r="E15" s="110">
        <f t="shared" si="1"/>
        <v>8296050.9842474377</v>
      </c>
      <c r="F15" s="110">
        <f t="shared" si="1"/>
        <v>7191880.5436187377</v>
      </c>
      <c r="G15" s="110">
        <f t="shared" si="1"/>
        <v>6258821.1797905732</v>
      </c>
      <c r="H15" s="110">
        <f t="shared" si="1"/>
        <v>5465818.425962369</v>
      </c>
    </row>
    <row r="16" spans="1:18" s="44" customFormat="1">
      <c r="A16" s="107"/>
      <c r="B16" s="110"/>
      <c r="C16" s="110"/>
      <c r="D16" s="110"/>
      <c r="E16" s="110"/>
      <c r="F16" s="110"/>
      <c r="G16" s="110"/>
      <c r="H16" s="110"/>
    </row>
    <row r="17" spans="1:8" s="44" customFormat="1">
      <c r="A17" s="114"/>
      <c r="B17" s="110"/>
      <c r="C17" s="110"/>
      <c r="D17" s="110"/>
      <c r="E17" s="110"/>
      <c r="F17" s="110"/>
      <c r="G17" s="110"/>
      <c r="H17" s="110"/>
    </row>
    <row r="18" spans="1:8" s="44" customFormat="1">
      <c r="A18" s="107" t="s">
        <v>491</v>
      </c>
      <c r="B18" s="110">
        <f>'8.Cash Flow '!C21-'6.Cons Profit &amp; Loss'!B43</f>
        <v>249944</v>
      </c>
      <c r="C18" s="110">
        <f>B18-'6.Cons Profit &amp; Loss'!C43</f>
        <v>187458</v>
      </c>
      <c r="D18" s="110">
        <f>C18-'6.Cons Profit &amp; Loss'!D43</f>
        <v>124972</v>
      </c>
      <c r="E18" s="110">
        <f>D18-'6.Cons Profit &amp; Loss'!E43</f>
        <v>62486</v>
      </c>
      <c r="F18" s="110">
        <f>E18-'6.Cons Profit &amp; Loss'!F43</f>
        <v>0</v>
      </c>
      <c r="G18" s="110">
        <f>F18-'6.Cons Profit &amp; Loss'!G43</f>
        <v>0</v>
      </c>
      <c r="H18" s="110">
        <f>G18-'6.Cons Profit &amp; Loss'!H43</f>
        <v>0</v>
      </c>
    </row>
    <row r="19" spans="1:8">
      <c r="A19" s="113"/>
      <c r="B19" s="112"/>
      <c r="C19" s="112"/>
      <c r="D19" s="112"/>
      <c r="E19" s="112"/>
      <c r="F19" s="112"/>
      <c r="G19" s="112"/>
      <c r="H19" s="112"/>
    </row>
    <row r="20" spans="1:8">
      <c r="A20" s="114" t="s">
        <v>248</v>
      </c>
      <c r="B20" s="115">
        <f t="shared" ref="B20:H20" si="2">B11+B15+B17+B18</f>
        <v>19992886.697942078</v>
      </c>
      <c r="C20" s="115">
        <f t="shared" si="2"/>
        <v>19740963.760709427</v>
      </c>
      <c r="D20" s="115">
        <f t="shared" si="2"/>
        <v>20317009.905400887</v>
      </c>
      <c r="E20" s="115">
        <f t="shared" si="2"/>
        <v>21743689.864366926</v>
      </c>
      <c r="F20" s="115">
        <f t="shared" si="2"/>
        <v>24056495.783221584</v>
      </c>
      <c r="G20" s="115">
        <f t="shared" si="2"/>
        <v>28847791.815245792</v>
      </c>
      <c r="H20" s="115">
        <f t="shared" si="2"/>
        <v>34690241.677570269</v>
      </c>
    </row>
    <row r="21" spans="1:8">
      <c r="A21" s="102"/>
      <c r="B21" s="116"/>
      <c r="C21" s="116"/>
      <c r="D21" s="116"/>
      <c r="E21" s="116"/>
      <c r="F21" s="116"/>
      <c r="G21" s="116"/>
      <c r="H21" s="116"/>
    </row>
    <row r="22" spans="1:8">
      <c r="A22" s="105" t="s">
        <v>249</v>
      </c>
      <c r="B22" s="117"/>
      <c r="C22" s="117"/>
      <c r="D22" s="117"/>
      <c r="E22" s="117"/>
      <c r="F22" s="117"/>
      <c r="G22" s="117"/>
      <c r="H22" s="117"/>
    </row>
    <row r="23" spans="1:8">
      <c r="A23" s="107" t="s">
        <v>250</v>
      </c>
      <c r="B23" s="117"/>
      <c r="C23" s="117"/>
      <c r="D23" s="117"/>
      <c r="E23" s="117"/>
      <c r="F23" s="117"/>
      <c r="G23" s="117"/>
      <c r="H23" s="117"/>
    </row>
    <row r="24" spans="1:8">
      <c r="A24" s="111" t="s">
        <v>251</v>
      </c>
      <c r="B24" s="110">
        <f>'5.Closing Stock &amp; W Capital'!E56-'5.Closing Stock &amp; W Capital'!E57</f>
        <v>0</v>
      </c>
      <c r="C24" s="110">
        <f>'5.Closing Stock &amp; W Capital'!F56-'5.Closing Stock &amp; W Capital'!F57</f>
        <v>0</v>
      </c>
      <c r="D24" s="110">
        <f>'5.Closing Stock &amp; W Capital'!G56-'5.Closing Stock &amp; W Capital'!G57</f>
        <v>0</v>
      </c>
      <c r="E24" s="110">
        <f>'5.Closing Stock &amp; W Capital'!H56-'5.Closing Stock &amp; W Capital'!H57</f>
        <v>0</v>
      </c>
      <c r="F24" s="110">
        <f>'5.Closing Stock &amp; W Capital'!I56-'5.Closing Stock &amp; W Capital'!I57</f>
        <v>0</v>
      </c>
      <c r="G24" s="110">
        <f>'5.Closing Stock &amp; W Capital'!J56-'5.Closing Stock &amp; W Capital'!J57</f>
        <v>0</v>
      </c>
      <c r="H24" s="110">
        <f>'5.Closing Stock &amp; W Capital'!K56-'5.Closing Stock &amp; W Capital'!K57</f>
        <v>0</v>
      </c>
    </row>
    <row r="25" spans="1:8">
      <c r="A25" s="111" t="s">
        <v>252</v>
      </c>
      <c r="B25" s="116">
        <f>'5.Closing Stock &amp; W Capital'!E55</f>
        <v>1156132.8636351172</v>
      </c>
      <c r="C25" s="116">
        <f>'5.Closing Stock &amp; W Capital'!F55</f>
        <v>1375531.7875322846</v>
      </c>
      <c r="D25" s="116">
        <f>'5.Closing Stock &amp; W Capital'!G55</f>
        <v>1613980.2716600818</v>
      </c>
      <c r="E25" s="116">
        <f>'5.Closing Stock &amp; W Capital'!H55</f>
        <v>1872834.7747318274</v>
      </c>
      <c r="F25" s="116">
        <f>'5.Closing Stock &amp; W Capital'!I55</f>
        <v>2153539.7774315984</v>
      </c>
      <c r="G25" s="116">
        <f>'5.Closing Stock &amp; W Capital'!J55</f>
        <v>2457633.1934645162</v>
      </c>
      <c r="H25" s="116">
        <f>'5.Closing Stock &amp; W Capital'!K55</f>
        <v>2786752.1016571466</v>
      </c>
    </row>
    <row r="26" spans="1:8" s="43" customFormat="1">
      <c r="A26" s="111" t="s">
        <v>253</v>
      </c>
      <c r="B26" s="110"/>
      <c r="C26" s="110"/>
      <c r="D26" s="110"/>
      <c r="E26" s="110"/>
      <c r="F26" s="110"/>
      <c r="G26" s="110"/>
      <c r="H26" s="110"/>
    </row>
    <row r="27" spans="1:8" s="43" customFormat="1">
      <c r="A27" s="107" t="s">
        <v>254</v>
      </c>
      <c r="B27" s="115">
        <f t="shared" ref="B27:H27" si="3">SUM(B24:B26)</f>
        <v>1156132.8636351172</v>
      </c>
      <c r="C27" s="115">
        <f t="shared" si="3"/>
        <v>1375531.7875322846</v>
      </c>
      <c r="D27" s="115">
        <f t="shared" si="3"/>
        <v>1613980.2716600818</v>
      </c>
      <c r="E27" s="115">
        <f t="shared" si="3"/>
        <v>1872834.7747318274</v>
      </c>
      <c r="F27" s="115">
        <f t="shared" si="3"/>
        <v>2153539.7774315984</v>
      </c>
      <c r="G27" s="115">
        <f t="shared" si="3"/>
        <v>2457633.1934645162</v>
      </c>
      <c r="H27" s="115">
        <f t="shared" si="3"/>
        <v>2786752.1016571466</v>
      </c>
    </row>
    <row r="28" spans="1:8" s="43" customFormat="1">
      <c r="A28" s="107" t="s">
        <v>255</v>
      </c>
      <c r="B28" s="115">
        <f>'4.TL repayment sch'!G21</f>
        <v>4993800.5175843481</v>
      </c>
      <c r="C28" s="115">
        <f>'4.TL repayment sch'!G33</f>
        <v>3903575.9537828579</v>
      </c>
      <c r="D28" s="115">
        <f>'4.TL repayment sch'!G45</f>
        <v>2714036.4879045715</v>
      </c>
      <c r="E28" s="115">
        <f>'4.TL repayment sch'!G57</f>
        <v>1416134.9473742077</v>
      </c>
      <c r="F28" s="115">
        <f>'4.TL repayment sch'!G69</f>
        <v>-2.5320332497358322E-9</v>
      </c>
      <c r="G28" s="115">
        <f>'4.TL repayment sch'!G81</f>
        <v>-2.7626908982627238E-9</v>
      </c>
      <c r="H28" s="115">
        <f>'4.TL repayment sch'!G93</f>
        <v>-3.0143604947288872E-9</v>
      </c>
    </row>
    <row r="29" spans="1:8" s="43" customFormat="1">
      <c r="A29" s="107" t="s">
        <v>256</v>
      </c>
      <c r="B29" s="115"/>
      <c r="C29" s="115"/>
      <c r="D29" s="115"/>
      <c r="E29" s="115"/>
      <c r="F29" s="115"/>
      <c r="G29" s="115"/>
      <c r="H29" s="115"/>
    </row>
    <row r="30" spans="1:8" s="43" customFormat="1">
      <c r="A30" s="107"/>
      <c r="B30" s="118"/>
      <c r="C30" s="118"/>
      <c r="D30" s="118"/>
      <c r="E30" s="118"/>
      <c r="F30" s="118"/>
      <c r="G30" s="118"/>
      <c r="H30" s="118"/>
    </row>
    <row r="31" spans="1:8">
      <c r="A31" s="114" t="s">
        <v>257</v>
      </c>
      <c r="B31" s="115">
        <f t="shared" ref="B31:H31" si="4">SUM(B27:B29)</f>
        <v>6149933.3812194653</v>
      </c>
      <c r="C31" s="115">
        <f t="shared" si="4"/>
        <v>5279107.7413151423</v>
      </c>
      <c r="D31" s="115">
        <f t="shared" si="4"/>
        <v>4328016.759564653</v>
      </c>
      <c r="E31" s="115">
        <f t="shared" si="4"/>
        <v>3288969.7221060349</v>
      </c>
      <c r="F31" s="115">
        <f t="shared" si="4"/>
        <v>2153539.7774315961</v>
      </c>
      <c r="G31" s="115">
        <f t="shared" si="4"/>
        <v>2457633.1934645134</v>
      </c>
      <c r="H31" s="115">
        <f t="shared" si="4"/>
        <v>2786752.1016571438</v>
      </c>
    </row>
    <row r="32" spans="1:8">
      <c r="A32" s="102"/>
      <c r="B32" s="119"/>
      <c r="C32" s="119"/>
      <c r="D32" s="119"/>
      <c r="E32" s="119"/>
      <c r="F32" s="119"/>
      <c r="G32" s="119"/>
      <c r="H32" s="119"/>
    </row>
    <row r="33" spans="1:8">
      <c r="A33" s="113" t="s">
        <v>258</v>
      </c>
      <c r="B33" s="112">
        <f>'1.Project Cost and MOF'!E21</f>
        <v>5000570.4010065133</v>
      </c>
      <c r="C33" s="112">
        <f>B33</f>
        <v>5000570.4010065133</v>
      </c>
      <c r="D33" s="112">
        <f t="shared" ref="D33:H34" si="5">C33</f>
        <v>5000570.4010065133</v>
      </c>
      <c r="E33" s="112">
        <f t="shared" si="5"/>
        <v>5000570.4010065133</v>
      </c>
      <c r="F33" s="112">
        <f t="shared" si="5"/>
        <v>5000570.4010065133</v>
      </c>
      <c r="G33" s="112">
        <f t="shared" si="5"/>
        <v>5000570.4010065133</v>
      </c>
      <c r="H33" s="112">
        <f t="shared" si="5"/>
        <v>5000570.4010065133</v>
      </c>
    </row>
    <row r="34" spans="1:8">
      <c r="A34" s="113" t="s">
        <v>492</v>
      </c>
      <c r="B34" s="112">
        <f>'1.Project Cost and MOF'!E19</f>
        <v>9435923.3999999985</v>
      </c>
      <c r="C34" s="112">
        <f>B34</f>
        <v>9435923.3999999985</v>
      </c>
      <c r="D34" s="112">
        <f t="shared" si="5"/>
        <v>9435923.3999999985</v>
      </c>
      <c r="E34" s="112">
        <f t="shared" si="5"/>
        <v>9435923.3999999985</v>
      </c>
      <c r="F34" s="112">
        <f t="shared" si="5"/>
        <v>9435923.3999999985</v>
      </c>
      <c r="G34" s="112">
        <f t="shared" si="5"/>
        <v>9435923.3999999985</v>
      </c>
      <c r="H34" s="112">
        <f t="shared" si="5"/>
        <v>9435923.3999999985</v>
      </c>
    </row>
    <row r="35" spans="1:8">
      <c r="A35" s="107" t="s">
        <v>259</v>
      </c>
      <c r="B35" s="112"/>
      <c r="C35" s="112"/>
      <c r="D35" s="112"/>
      <c r="E35" s="112"/>
      <c r="F35" s="112"/>
      <c r="G35" s="112"/>
      <c r="H35" s="112"/>
    </row>
    <row r="36" spans="1:8">
      <c r="A36" s="113" t="s">
        <v>260</v>
      </c>
      <c r="B36" s="112">
        <v>0</v>
      </c>
      <c r="C36" s="112">
        <f t="shared" ref="C36:H36" si="6">B39</f>
        <v>-593540.48428390932</v>
      </c>
      <c r="D36" s="112">
        <f t="shared" si="6"/>
        <v>25362.218387755682</v>
      </c>
      <c r="E36" s="112">
        <f t="shared" si="6"/>
        <v>1552499.3448297372</v>
      </c>
      <c r="F36" s="112">
        <f t="shared" si="6"/>
        <v>4018226.3412544206</v>
      </c>
      <c r="G36" s="112">
        <f t="shared" si="6"/>
        <v>7466462.2047835216</v>
      </c>
      <c r="H36" s="112">
        <f t="shared" si="6"/>
        <v>11953664.820774822</v>
      </c>
    </row>
    <row r="37" spans="1:8">
      <c r="A37" s="113" t="s">
        <v>261</v>
      </c>
      <c r="B37" s="112">
        <f>+'6.Cons Profit &amp; Loss'!B53</f>
        <v>-791387.31237854576</v>
      </c>
      <c r="C37" s="112">
        <f>+'6.Cons Profit &amp; Loss'!C51</f>
        <v>825203.60356222</v>
      </c>
      <c r="D37" s="112">
        <f>+'6.Cons Profit &amp; Loss'!D51</f>
        <v>2036182.8352559751</v>
      </c>
      <c r="E37" s="112">
        <f>+'6.Cons Profit &amp; Loss'!E51</f>
        <v>3287635.9952329108</v>
      </c>
      <c r="F37" s="112">
        <f>+'6.Cons Profit &amp; Loss'!F51</f>
        <v>4597647.8180388007</v>
      </c>
      <c r="G37" s="112">
        <f>+'6.Cons Profit &amp; Loss'!G51</f>
        <v>5982936.8213217333</v>
      </c>
      <c r="H37" s="112">
        <f>+'6.Cons Profit &amp; Loss'!H51</f>
        <v>7351107.938842441</v>
      </c>
    </row>
    <row r="38" spans="1:8">
      <c r="A38" s="113" t="s">
        <v>262</v>
      </c>
      <c r="B38" s="112">
        <f>+'6.Cons Profit &amp; Loss'!B52</f>
        <v>-197846.82809463644</v>
      </c>
      <c r="C38" s="112">
        <f>+'6.Cons Profit &amp; Loss'!C52</f>
        <v>206300.900890555</v>
      </c>
      <c r="D38" s="112">
        <f>+'6.Cons Profit &amp; Loss'!D52</f>
        <v>509045.70881399378</v>
      </c>
      <c r="E38" s="112">
        <f>+'6.Cons Profit &amp; Loss'!E52</f>
        <v>821908.99880822771</v>
      </c>
      <c r="F38" s="112">
        <f>+'6.Cons Profit &amp; Loss'!F52</f>
        <v>1149411.9545097002</v>
      </c>
      <c r="G38" s="112">
        <f>+'6.Cons Profit &amp; Loss'!G52</f>
        <v>1495734.2053304333</v>
      </c>
      <c r="H38" s="112">
        <f>+'6.Cons Profit &amp; Loss'!H52</f>
        <v>1837776.9847106102</v>
      </c>
    </row>
    <row r="39" spans="1:8">
      <c r="A39" s="113" t="s">
        <v>263</v>
      </c>
      <c r="B39" s="112">
        <f t="shared" ref="B39:H39" si="7">B36+B37-B38</f>
        <v>-593540.48428390932</v>
      </c>
      <c r="C39" s="112">
        <f t="shared" si="7"/>
        <v>25362.218387755682</v>
      </c>
      <c r="D39" s="112">
        <f t="shared" si="7"/>
        <v>1552499.3448297372</v>
      </c>
      <c r="E39" s="112">
        <f t="shared" si="7"/>
        <v>4018226.3412544206</v>
      </c>
      <c r="F39" s="112">
        <f t="shared" si="7"/>
        <v>7466462.2047835216</v>
      </c>
      <c r="G39" s="112">
        <f t="shared" si="7"/>
        <v>11953664.820774822</v>
      </c>
      <c r="H39" s="112">
        <f t="shared" si="7"/>
        <v>17466995.77490665</v>
      </c>
    </row>
    <row r="40" spans="1:8">
      <c r="A40" s="113"/>
      <c r="B40" s="117"/>
      <c r="C40" s="117"/>
      <c r="D40" s="117"/>
      <c r="E40" s="117"/>
      <c r="F40" s="117"/>
      <c r="G40" s="117"/>
      <c r="H40" s="117"/>
    </row>
    <row r="41" spans="1:8">
      <c r="A41" s="120" t="s">
        <v>264</v>
      </c>
      <c r="B41" s="121">
        <f t="shared" ref="B41:H41" si="8">B33+B39+B34</f>
        <v>13842953.316722602</v>
      </c>
      <c r="C41" s="121">
        <f t="shared" si="8"/>
        <v>14461856.019394267</v>
      </c>
      <c r="D41" s="121">
        <f t="shared" si="8"/>
        <v>15988993.145836249</v>
      </c>
      <c r="E41" s="121">
        <f t="shared" si="8"/>
        <v>18454720.142260931</v>
      </c>
      <c r="F41" s="121">
        <f t="shared" si="8"/>
        <v>21902956.005790032</v>
      </c>
      <c r="G41" s="121">
        <f t="shared" si="8"/>
        <v>26390158.621781334</v>
      </c>
      <c r="H41" s="121">
        <f t="shared" si="8"/>
        <v>31903489.575913161</v>
      </c>
    </row>
    <row r="42" spans="1:8">
      <c r="A42" s="102"/>
      <c r="B42" s="112"/>
      <c r="C42" s="112"/>
      <c r="D42" s="112"/>
      <c r="E42" s="112"/>
      <c r="F42" s="112"/>
      <c r="G42" s="112"/>
      <c r="H42" s="112"/>
    </row>
    <row r="43" spans="1:8">
      <c r="A43" s="114" t="s">
        <v>265</v>
      </c>
      <c r="B43" s="115">
        <f t="shared" ref="B43:H43" si="9">B31+B41</f>
        <v>19992886.697942067</v>
      </c>
      <c r="C43" s="115">
        <f t="shared" si="9"/>
        <v>19740963.760709409</v>
      </c>
      <c r="D43" s="115">
        <f t="shared" si="9"/>
        <v>20317009.905400902</v>
      </c>
      <c r="E43" s="115">
        <f t="shared" si="9"/>
        <v>21743689.864366967</v>
      </c>
      <c r="F43" s="115">
        <f t="shared" si="9"/>
        <v>24056495.783221629</v>
      </c>
      <c r="G43" s="115">
        <f t="shared" si="9"/>
        <v>28847791.815245848</v>
      </c>
      <c r="H43" s="115">
        <f t="shared" si="9"/>
        <v>34690241.677570306</v>
      </c>
    </row>
    <row r="44" spans="1:8">
      <c r="A44" s="102"/>
      <c r="B44" s="122"/>
      <c r="C44" s="122"/>
      <c r="D44" s="122"/>
      <c r="E44" s="122"/>
      <c r="F44" s="122"/>
      <c r="G44" s="122"/>
      <c r="H44" s="122"/>
    </row>
    <row r="45" spans="1:8">
      <c r="A45" s="123" t="s">
        <v>266</v>
      </c>
      <c r="B45" s="124"/>
      <c r="C45" s="124"/>
      <c r="D45" s="124"/>
      <c r="E45" s="124"/>
      <c r="F45" s="124"/>
      <c r="G45" s="124"/>
      <c r="H45" s="124"/>
    </row>
    <row r="46" spans="1:8">
      <c r="A46" s="125" t="s">
        <v>267</v>
      </c>
      <c r="B46" s="126">
        <f t="shared" ref="B46:H46" si="10">B43-B20</f>
        <v>0</v>
      </c>
      <c r="C46" s="126">
        <f t="shared" si="10"/>
        <v>0</v>
      </c>
      <c r="D46" s="126">
        <f t="shared" si="10"/>
        <v>0</v>
      </c>
      <c r="E46" s="126">
        <f t="shared" si="10"/>
        <v>4.0978193283081055E-8</v>
      </c>
      <c r="F46" s="126">
        <f t="shared" si="10"/>
        <v>4.4703483581542969E-8</v>
      </c>
      <c r="G46" s="126">
        <f t="shared" si="10"/>
        <v>5.5879354476928711E-8</v>
      </c>
      <c r="H46" s="126">
        <f t="shared" si="10"/>
        <v>0</v>
      </c>
    </row>
    <row r="47" spans="1:8">
      <c r="A47" s="125"/>
      <c r="B47" s="126"/>
      <c r="C47" s="126"/>
      <c r="D47" s="126"/>
      <c r="E47" s="126"/>
      <c r="F47" s="126"/>
      <c r="G47" s="126"/>
      <c r="H47" s="126"/>
    </row>
    <row r="48" spans="1:8" ht="15.75" thickBot="1">
      <c r="A48" s="127"/>
      <c r="B48" s="128"/>
      <c r="C48" s="128"/>
      <c r="D48" s="128"/>
      <c r="E48" s="128"/>
      <c r="F48" s="128"/>
      <c r="G48" s="128"/>
      <c r="H48" s="128"/>
    </row>
    <row r="49" spans="1:9">
      <c r="B49" s="45"/>
      <c r="C49" s="45"/>
      <c r="D49" s="45"/>
      <c r="E49" s="45"/>
      <c r="F49" s="45"/>
      <c r="G49" s="45"/>
      <c r="H49" s="45"/>
    </row>
    <row r="50" spans="1:9" ht="39.6" customHeight="1">
      <c r="A50" s="584" t="s">
        <v>388</v>
      </c>
      <c r="B50" s="585"/>
      <c r="C50" s="585"/>
      <c r="D50" s="585"/>
      <c r="E50" s="585"/>
      <c r="F50" s="585"/>
      <c r="G50" s="585"/>
      <c r="H50" s="585"/>
      <c r="I50" s="585"/>
    </row>
  </sheetData>
  <mergeCells count="3">
    <mergeCell ref="A1:F1"/>
    <mergeCell ref="A2:H2"/>
    <mergeCell ref="A50:I50"/>
  </mergeCells>
  <conditionalFormatting sqref="B36:F37 B38 B37:H37">
    <cfRule type="cellIs" dxfId="3" priority="4" operator="lessThan">
      <formula>0</formula>
    </cfRule>
  </conditionalFormatting>
  <conditionalFormatting sqref="G36:G37">
    <cfRule type="cellIs" dxfId="2" priority="3" operator="lessThan">
      <formula>0</formula>
    </cfRule>
  </conditionalFormatting>
  <conditionalFormatting sqref="H36:H37">
    <cfRule type="cellIs" dxfId="1" priority="2" operator="lessThan">
      <formula>0</formula>
    </cfRule>
  </conditionalFormatting>
  <conditionalFormatting sqref="C38:H38">
    <cfRule type="cellIs" dxfId="0" priority="1" operator="lessThan">
      <formula>0</formula>
    </cfRule>
  </conditionalFormatting>
  <pageMargins left="0.7" right="0.7" top="0.75" bottom="0.75" header="0.3" footer="0.3"/>
  <pageSetup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5"/>
  <sheetViews>
    <sheetView view="pageBreakPreview" zoomScale="80" zoomScaleSheetLayoutView="80" workbookViewId="0">
      <selection sqref="A1:G1"/>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566"/>
      <c r="B1" s="566"/>
      <c r="C1" s="566"/>
      <c r="D1" s="566"/>
      <c r="E1" s="566"/>
      <c r="F1" s="566"/>
      <c r="G1" s="566"/>
    </row>
    <row r="2" spans="1:10" ht="18.75">
      <c r="A2" s="565" t="s">
        <v>542</v>
      </c>
      <c r="B2" s="565"/>
      <c r="C2" s="565"/>
      <c r="D2" s="565"/>
      <c r="E2" s="565"/>
      <c r="F2" s="565"/>
      <c r="G2" s="565"/>
      <c r="H2" s="565"/>
      <c r="I2" s="565"/>
      <c r="J2" s="67"/>
    </row>
    <row r="4" spans="1:10">
      <c r="A4" s="46" t="s">
        <v>707</v>
      </c>
      <c r="B4" s="46" t="s">
        <v>0</v>
      </c>
      <c r="C4" s="47" t="s">
        <v>2</v>
      </c>
      <c r="D4" s="47" t="s">
        <v>3</v>
      </c>
      <c r="E4" s="47" t="s">
        <v>4</v>
      </c>
      <c r="F4" s="47" t="s">
        <v>5</v>
      </c>
      <c r="G4" s="47" t="s">
        <v>6</v>
      </c>
      <c r="H4" s="47" t="s">
        <v>166</v>
      </c>
      <c r="I4" s="47" t="s">
        <v>165</v>
      </c>
    </row>
    <row r="5" spans="1:10">
      <c r="A5" s="29">
        <v>1</v>
      </c>
      <c r="B5" s="29" t="s">
        <v>7</v>
      </c>
      <c r="C5" s="30"/>
      <c r="D5" s="30"/>
      <c r="E5" s="30"/>
      <c r="F5" s="30"/>
      <c r="G5" s="30"/>
      <c r="H5" s="30"/>
      <c r="I5" s="30"/>
    </row>
    <row r="6" spans="1:10">
      <c r="A6" s="29"/>
      <c r="B6" s="31" t="s">
        <v>350</v>
      </c>
      <c r="C6" s="30">
        <f>'6.Cons Profit &amp; Loss'!B15</f>
        <v>61669690.265509598</v>
      </c>
      <c r="D6" s="30">
        <f>'6.Cons Profit &amp; Loss'!C15</f>
        <v>77071689.731827766</v>
      </c>
      <c r="E6" s="30">
        <f>'6.Cons Profit &amp; Loss'!D15</f>
        <v>90786278.985158324</v>
      </c>
      <c r="F6" s="30">
        <f>'6.Cons Profit &amp; Loss'!E15</f>
        <v>105679647.93949237</v>
      </c>
      <c r="G6" s="30">
        <f>'6.Cons Profit &amp; Loss'!F15</f>
        <v>121835388.09179695</v>
      </c>
      <c r="H6" s="30">
        <f>'6.Cons Profit &amp; Loss'!G15</f>
        <v>139342503.13948321</v>
      </c>
      <c r="I6" s="30">
        <f>'6.Cons Profit &amp; Loss'!H15</f>
        <v>158295741.22170866</v>
      </c>
    </row>
    <row r="7" spans="1:10">
      <c r="A7" s="29">
        <v>2</v>
      </c>
      <c r="B7" s="29" t="s">
        <v>224</v>
      </c>
      <c r="C7" s="30">
        <f>'1.Project Cost and MOF'!E21</f>
        <v>5000570.4010065133</v>
      </c>
      <c r="D7" s="30"/>
      <c r="E7" s="30"/>
      <c r="F7" s="30"/>
      <c r="G7" s="30"/>
      <c r="H7" s="30"/>
      <c r="I7" s="30"/>
    </row>
    <row r="8" spans="1:10">
      <c r="A8" s="29"/>
      <c r="B8" s="29" t="s">
        <v>285</v>
      </c>
      <c r="C8" s="30"/>
      <c r="D8" s="30"/>
      <c r="E8" s="30"/>
      <c r="F8" s="30"/>
      <c r="G8" s="30"/>
      <c r="H8" s="30"/>
      <c r="I8" s="30"/>
    </row>
    <row r="9" spans="1:10">
      <c r="A9" s="29">
        <v>3</v>
      </c>
      <c r="B9" s="29" t="s">
        <v>225</v>
      </c>
      <c r="C9" s="30">
        <f>'1.Project Cost and MOF'!E19</f>
        <v>9435923.3999999985</v>
      </c>
      <c r="D9" s="30"/>
      <c r="E9" s="30"/>
      <c r="F9" s="30"/>
      <c r="G9" s="30"/>
      <c r="H9" s="30"/>
      <c r="I9" s="30"/>
    </row>
    <row r="10" spans="1:10">
      <c r="A10" s="29">
        <v>4</v>
      </c>
      <c r="B10" s="29" t="s">
        <v>226</v>
      </c>
      <c r="C10" s="30">
        <f>'1.Project Cost and MOF'!E20</f>
        <v>5504288.6500000013</v>
      </c>
      <c r="D10" s="30"/>
      <c r="E10" s="30"/>
      <c r="F10" s="30"/>
      <c r="G10" s="30"/>
      <c r="H10" s="30"/>
      <c r="I10" s="30"/>
    </row>
    <row r="11" spans="1:10">
      <c r="A11" s="29">
        <v>5</v>
      </c>
      <c r="B11" s="29" t="s">
        <v>668</v>
      </c>
      <c r="C11" s="30">
        <f>'7.Balance Sheet'!B24</f>
        <v>0</v>
      </c>
      <c r="D11" s="30">
        <f>'7.Balance Sheet'!C24-'7.Balance Sheet'!B24</f>
        <v>0</v>
      </c>
      <c r="E11" s="30">
        <f>'7.Balance Sheet'!D24-'7.Balance Sheet'!C24</f>
        <v>0</v>
      </c>
      <c r="F11" s="30">
        <f>'7.Balance Sheet'!E24-'7.Balance Sheet'!D24</f>
        <v>0</v>
      </c>
      <c r="G11" s="30">
        <f>'7.Balance Sheet'!F24-'7.Balance Sheet'!E24</f>
        <v>0</v>
      </c>
      <c r="H11" s="30">
        <f>'7.Balance Sheet'!G24-'7.Balance Sheet'!F24</f>
        <v>0</v>
      </c>
      <c r="I11" s="30">
        <f>'7.Balance Sheet'!H24-'7.Balance Sheet'!G24</f>
        <v>0</v>
      </c>
    </row>
    <row r="12" spans="1:10">
      <c r="A12" s="29">
        <v>6</v>
      </c>
      <c r="B12" s="29" t="s">
        <v>692</v>
      </c>
      <c r="C12" s="30">
        <f>'7.Balance Sheet'!B25</f>
        <v>1156132.8636351172</v>
      </c>
      <c r="D12" s="30">
        <f>'7.Balance Sheet'!C25-'7.Balance Sheet'!B25</f>
        <v>219398.92389716743</v>
      </c>
      <c r="E12" s="30">
        <f>'7.Balance Sheet'!D25-'7.Balance Sheet'!C25</f>
        <v>238448.48412779719</v>
      </c>
      <c r="F12" s="30">
        <f>'7.Balance Sheet'!E25-'7.Balance Sheet'!D25</f>
        <v>258854.50307174562</v>
      </c>
      <c r="G12" s="30">
        <f>'7.Balance Sheet'!F25-'7.Balance Sheet'!E25</f>
        <v>280705.00269977096</v>
      </c>
      <c r="H12" s="30">
        <f>'7.Balance Sheet'!G25-'7.Balance Sheet'!F25</f>
        <v>304093.4160329178</v>
      </c>
      <c r="I12" s="30">
        <f>'7.Balance Sheet'!H25-'7.Balance Sheet'!G25</f>
        <v>329118.90819263039</v>
      </c>
    </row>
    <row r="13" spans="1:10">
      <c r="A13" s="29"/>
      <c r="B13" s="29" t="s">
        <v>227</v>
      </c>
      <c r="C13" s="32">
        <f>SUM(C6:C12)</f>
        <v>82766605.58015123</v>
      </c>
      <c r="D13" s="32">
        <f t="shared" ref="D13:I13" si="0">SUM(D6:D12)</f>
        <v>77291088.655724928</v>
      </c>
      <c r="E13" s="32">
        <f t="shared" si="0"/>
        <v>91024727.469286114</v>
      </c>
      <c r="F13" s="32">
        <f t="shared" si="0"/>
        <v>105938502.44256411</v>
      </c>
      <c r="G13" s="32">
        <f t="shared" si="0"/>
        <v>122116093.09449673</v>
      </c>
      <c r="H13" s="32">
        <f t="shared" si="0"/>
        <v>139646596.55551612</v>
      </c>
      <c r="I13" s="32">
        <f t="shared" si="0"/>
        <v>158624860.12990129</v>
      </c>
    </row>
    <row r="14" spans="1:10" ht="15" customHeight="1">
      <c r="A14" s="586" t="s">
        <v>228</v>
      </c>
      <c r="B14" s="587"/>
      <c r="C14" s="33"/>
      <c r="D14" s="33"/>
      <c r="E14" s="33"/>
      <c r="F14" s="33"/>
      <c r="G14" s="33"/>
      <c r="H14" s="33"/>
      <c r="I14" s="33"/>
    </row>
    <row r="15" spans="1:10">
      <c r="A15" s="29">
        <v>1</v>
      </c>
      <c r="B15" s="29" t="s">
        <v>229</v>
      </c>
      <c r="C15" s="33"/>
      <c r="D15" s="33"/>
      <c r="E15" s="33"/>
      <c r="F15" s="33"/>
      <c r="G15" s="33"/>
      <c r="H15" s="33"/>
      <c r="I15" s="33"/>
    </row>
    <row r="16" spans="1:10">
      <c r="A16" s="34" t="s">
        <v>230</v>
      </c>
      <c r="B16" s="33" t="s">
        <v>153</v>
      </c>
      <c r="C16" s="35">
        <f>'1.Project Cost and MOF'!D5</f>
        <v>7607713</v>
      </c>
      <c r="D16" s="35"/>
      <c r="E16" s="35"/>
      <c r="F16" s="35"/>
      <c r="G16" s="35"/>
      <c r="H16" s="35"/>
      <c r="I16" s="35"/>
    </row>
    <row r="17" spans="1:9">
      <c r="A17" s="34" t="s">
        <v>231</v>
      </c>
      <c r="B17" s="36" t="s">
        <v>154</v>
      </c>
      <c r="C17" s="35">
        <f>'1.Project Cost and MOF'!D6</f>
        <v>6394396</v>
      </c>
      <c r="D17" s="35"/>
      <c r="E17" s="35"/>
      <c r="F17" s="35"/>
      <c r="G17" s="35"/>
      <c r="H17" s="35"/>
      <c r="I17" s="35"/>
    </row>
    <row r="18" spans="1:9">
      <c r="A18" s="34" t="s">
        <v>268</v>
      </c>
      <c r="B18" s="36" t="s">
        <v>319</v>
      </c>
      <c r="C18" s="35">
        <f>'1.Project Cost and MOF'!D7</f>
        <v>0</v>
      </c>
      <c r="D18" s="35"/>
      <c r="E18" s="35"/>
      <c r="F18" s="35"/>
      <c r="G18" s="35"/>
      <c r="H18" s="35"/>
      <c r="I18" s="35"/>
    </row>
    <row r="19" spans="1:9">
      <c r="A19" s="34" t="s">
        <v>270</v>
      </c>
      <c r="B19" s="36" t="s">
        <v>321</v>
      </c>
      <c r="C19" s="35">
        <f>'1.Project Cost and MOF'!D8</f>
        <v>0</v>
      </c>
      <c r="D19" s="35"/>
      <c r="E19" s="35"/>
      <c r="F19" s="35"/>
      <c r="G19" s="35"/>
      <c r="H19" s="35"/>
      <c r="I19" s="35"/>
    </row>
    <row r="20" spans="1:9">
      <c r="A20" s="34" t="s">
        <v>322</v>
      </c>
      <c r="B20" s="36" t="s">
        <v>269</v>
      </c>
      <c r="C20" s="35">
        <f>'1.Project Cost and MOF'!D9</f>
        <v>1412000</v>
      </c>
      <c r="D20" s="30"/>
      <c r="E20" s="30"/>
      <c r="F20" s="30"/>
      <c r="G20" s="30"/>
      <c r="H20" s="30"/>
      <c r="I20" s="30"/>
    </row>
    <row r="21" spans="1:9">
      <c r="A21" s="34" t="s">
        <v>323</v>
      </c>
      <c r="B21" s="36" t="s">
        <v>271</v>
      </c>
      <c r="C21" s="35">
        <f>'1.Project Cost and MOF'!D10</f>
        <v>312430</v>
      </c>
      <c r="D21" s="30"/>
      <c r="E21" s="30"/>
      <c r="F21" s="30"/>
      <c r="G21" s="30"/>
      <c r="H21" s="30"/>
      <c r="I21" s="30"/>
    </row>
    <row r="22" spans="1:9">
      <c r="A22" s="29">
        <v>2</v>
      </c>
      <c r="B22" s="29" t="s">
        <v>232</v>
      </c>
      <c r="C22" s="33"/>
      <c r="D22" s="33"/>
      <c r="E22" s="33"/>
      <c r="F22" s="33"/>
      <c r="G22" s="33"/>
      <c r="H22" s="33"/>
      <c r="I22" s="33"/>
    </row>
    <row r="23" spans="1:9">
      <c r="A23" s="34" t="s">
        <v>230</v>
      </c>
      <c r="B23" s="33" t="s">
        <v>304</v>
      </c>
      <c r="C23" s="58">
        <f>'6.Cons Profit &amp; Loss'!B25</f>
        <v>57279107.209353834</v>
      </c>
      <c r="D23" s="58">
        <f>'6.Cons Profit &amp; Loss'!C25</f>
        <v>71152615.155451521</v>
      </c>
      <c r="E23" s="58">
        <f>'6.Cons Profit &amp; Loss'!D25</f>
        <v>83536358.574371085</v>
      </c>
      <c r="F23" s="58">
        <f>'6.Cons Profit &amp; Loss'!E25</f>
        <v>96980594.797293931</v>
      </c>
      <c r="G23" s="58">
        <f>'6.Cons Profit &amp; Loss'!F25</f>
        <v>111560413.74607322</v>
      </c>
      <c r="H23" s="58">
        <f>'6.Cons Profit &amp; Loss'!G25</f>
        <v>127355763.10273716</v>
      </c>
      <c r="I23" s="58">
        <f>'6.Cons Profit &amp; Loss'!H25</f>
        <v>144451746.36070234</v>
      </c>
    </row>
    <row r="24" spans="1:9">
      <c r="A24" s="34" t="s">
        <v>231</v>
      </c>
      <c r="B24" s="33" t="s">
        <v>302</v>
      </c>
      <c r="C24" s="30">
        <f>'6.Cons Profit &amp; Loss'!B36</f>
        <v>2326000</v>
      </c>
      <c r="D24" s="30">
        <f>'6.Cons Profit &amp; Loss'!C36</f>
        <v>2442300</v>
      </c>
      <c r="E24" s="30">
        <f>'6.Cons Profit &amp; Loss'!D36</f>
        <v>2564415</v>
      </c>
      <c r="F24" s="30">
        <f>'6.Cons Profit &amp; Loss'!E36</f>
        <v>2692635.7500000005</v>
      </c>
      <c r="G24" s="30">
        <f>'6.Cons Profit &amp; Loss'!F36</f>
        <v>2827267.5375000001</v>
      </c>
      <c r="H24" s="30">
        <f>'6.Cons Profit &amp; Loss'!G36</f>
        <v>2968630.9143750011</v>
      </c>
      <c r="I24" s="30">
        <f>'6.Cons Profit &amp; Loss'!H36</f>
        <v>3117062.4600937506</v>
      </c>
    </row>
    <row r="25" spans="1:9">
      <c r="A25" s="37">
        <v>3</v>
      </c>
      <c r="B25" s="29" t="s">
        <v>490</v>
      </c>
      <c r="C25" s="30"/>
      <c r="D25" s="30"/>
      <c r="E25" s="30"/>
      <c r="F25" s="30"/>
      <c r="G25" s="30"/>
      <c r="H25" s="30"/>
      <c r="I25" s="30"/>
    </row>
    <row r="26" spans="1:9">
      <c r="A26" s="34"/>
      <c r="B26" s="33" t="s">
        <v>233</v>
      </c>
      <c r="C26" s="30">
        <f>SUM('4.TL repayment sch'!E10:E21)</f>
        <v>510488.1324156521</v>
      </c>
      <c r="D26" s="30">
        <f>SUM('4.TL repayment sch'!E22:E33)</f>
        <v>1090224.5638014893</v>
      </c>
      <c r="E26" s="30">
        <f>SUM('4.TL repayment sch'!E34:E45)</f>
        <v>1189539.4658782857</v>
      </c>
      <c r="F26" s="30">
        <f>SUM('4.TL repayment sch'!E46:E57)</f>
        <v>1297901.540530364</v>
      </c>
      <c r="G26" s="30">
        <f>SUM('4.TL repayment sch'!E58:E69)</f>
        <v>1416134.9473742105</v>
      </c>
      <c r="H26" s="30">
        <f>SUM('4.TL repayment sch'!E70:E81)</f>
        <v>2.3065764852689081E-10</v>
      </c>
      <c r="I26" s="30">
        <f>SUM('4.TL repayment sch'!E82:E93)</f>
        <v>2.5166959646616277E-10</v>
      </c>
    </row>
    <row r="27" spans="1:9">
      <c r="A27" s="34"/>
      <c r="B27" s="33" t="s">
        <v>234</v>
      </c>
      <c r="C27" s="30">
        <f>SUM('4.TL repayment sch'!D10:D21)</f>
        <v>472398.35753430944</v>
      </c>
      <c r="D27" s="30">
        <f>SUM('4.TL repayment sch'!D22:D33)</f>
        <v>393923.15922343364</v>
      </c>
      <c r="E27" s="30">
        <f>SUM('4.TL repayment sch'!D34:D45)</f>
        <v>294608.25714663719</v>
      </c>
      <c r="F27" s="30">
        <f>SUM('4.TL repayment sch'!D46:D57)</f>
        <v>186246.18249455866</v>
      </c>
      <c r="G27" s="30">
        <f>SUM('4.TL repayment sch'!D58:D69)</f>
        <v>68012.775650712472</v>
      </c>
      <c r="H27" s="30">
        <f>SUM('4.TL repayment sch'!D70:D81)</f>
        <v>-2.3065764852689081E-10</v>
      </c>
      <c r="I27" s="30">
        <f>SUM('4.TL repayment sch'!D82:D93)</f>
        <v>-2.5166959646616277E-10</v>
      </c>
    </row>
    <row r="28" spans="1:9">
      <c r="A28" s="34"/>
      <c r="B28" s="33" t="s">
        <v>235</v>
      </c>
      <c r="C28" s="30"/>
      <c r="D28" s="30"/>
      <c r="E28" s="30"/>
      <c r="F28" s="30"/>
      <c r="G28" s="30"/>
      <c r="H28" s="30"/>
      <c r="I28" s="30"/>
    </row>
    <row r="29" spans="1:9">
      <c r="A29" s="34"/>
      <c r="B29" s="33" t="s">
        <v>236</v>
      </c>
      <c r="C29" s="38">
        <f>'7.Balance Sheet'!B24*12%</f>
        <v>0</v>
      </c>
      <c r="D29" s="38">
        <f>'7.Balance Sheet'!C24*12%</f>
        <v>0</v>
      </c>
      <c r="E29" s="38">
        <f>'7.Balance Sheet'!D24*12%</f>
        <v>0</v>
      </c>
      <c r="F29" s="38">
        <f>'7.Balance Sheet'!E24*12%</f>
        <v>0</v>
      </c>
      <c r="G29" s="38">
        <f>'7.Balance Sheet'!F24*12%</f>
        <v>0</v>
      </c>
      <c r="H29" s="38">
        <f>'7.Balance Sheet'!G24*12%</f>
        <v>0</v>
      </c>
      <c r="I29" s="38">
        <f>'7.Balance Sheet'!H24*12%</f>
        <v>0</v>
      </c>
    </row>
    <row r="30" spans="1:9">
      <c r="A30" s="29">
        <v>4</v>
      </c>
      <c r="B30" s="29" t="s">
        <v>237</v>
      </c>
      <c r="C30" s="30" t="str">
        <f>'6.Cons Profit &amp; Loss'!B50</f>
        <v>0</v>
      </c>
      <c r="D30" s="30">
        <f>'6.Cons Profit &amp; Loss'!C50</f>
        <v>289936.40125159081</v>
      </c>
      <c r="E30" s="30">
        <f>'6.Cons Profit &amp; Loss'!D50</f>
        <v>715415.5907656129</v>
      </c>
      <c r="F30" s="30">
        <f>'6.Cons Profit &amp; Loss'!E50</f>
        <v>1155115.3496764281</v>
      </c>
      <c r="G30" s="30">
        <f>'6.Cons Profit &amp; Loss'!F50</f>
        <v>1615389.7739055248</v>
      </c>
      <c r="H30" s="30">
        <f>'6.Cons Profit &amp; Loss'!G50</f>
        <v>2102112.9372211494</v>
      </c>
      <c r="I30" s="30">
        <f>'6.Cons Profit &amp; Loss'!H50</f>
        <v>2582821.7082419386</v>
      </c>
    </row>
    <row r="31" spans="1:9">
      <c r="A31" s="29">
        <v>5</v>
      </c>
      <c r="B31" s="29" t="s">
        <v>666</v>
      </c>
      <c r="C31" s="30">
        <f>'7.Balance Sheet'!B9</f>
        <v>2365412.7773072175</v>
      </c>
      <c r="D31" s="30">
        <f>'7.Balance Sheet'!C9-'7.Balance Sheet'!B9</f>
        <v>590761.62336562807</v>
      </c>
      <c r="E31" s="30">
        <f>'7.Balance Sheet'!D9-'7.Balance Sheet'!C9</f>
        <v>526039.03985377494</v>
      </c>
      <c r="F31" s="30">
        <f>'7.Balance Sheet'!E9-'7.Balance Sheet'!D9</f>
        <v>571252.50783747062</v>
      </c>
      <c r="G31" s="30">
        <f>'7.Balance Sheet'!F9-'7.Balance Sheet'!E9</f>
        <v>619672.22501990199</v>
      </c>
      <c r="H31" s="30">
        <f>'7.Balance Sheet'!G9-'7.Balance Sheet'!F9</f>
        <v>671505.78265098017</v>
      </c>
      <c r="I31" s="30">
        <f>'7.Balance Sheet'!H9-'7.Balance Sheet'!G9</f>
        <v>726973.51548261847</v>
      </c>
    </row>
    <row r="32" spans="1:9">
      <c r="A32" s="29">
        <v>6</v>
      </c>
      <c r="B32" s="29" t="s">
        <v>667</v>
      </c>
      <c r="C32" s="30">
        <f>'7.Balance Sheet'!B10</f>
        <v>3004963.5373344128</v>
      </c>
      <c r="D32" s="30">
        <f>'7.Balance Sheet'!C10-'7.Balance Sheet'!B10</f>
        <v>571542.33730333019</v>
      </c>
      <c r="E32" s="30">
        <f>'7.Balance Sheet'!D10-'7.Balance Sheet'!C10</f>
        <v>621184.16219032789</v>
      </c>
      <c r="F32" s="30">
        <f>'7.Balance Sheet'!E10-'7.Balance Sheet'!D10</f>
        <v>674361.31372276507</v>
      </c>
      <c r="G32" s="30">
        <f>'7.Balance Sheet'!F10-'7.Balance Sheet'!E10</f>
        <v>731303.22000297345</v>
      </c>
      <c r="H32" s="30">
        <f>'7.Balance Sheet'!G10-'7.Balance Sheet'!F10</f>
        <v>792253.41362689342</v>
      </c>
      <c r="I32" s="30">
        <f>'7.Balance Sheet'!H10-'7.Balance Sheet'!G10</f>
        <v>857470.36856319755</v>
      </c>
    </row>
    <row r="33" spans="1:10">
      <c r="A33" s="29">
        <v>7</v>
      </c>
      <c r="B33" s="29" t="s">
        <v>689</v>
      </c>
      <c r="C33" s="30">
        <f>+'6.Cons Profit &amp; Loss'!B52</f>
        <v>-197846.82809463644</v>
      </c>
      <c r="D33" s="30">
        <f>+'6.Cons Profit &amp; Loss'!C52</f>
        <v>206300.900890555</v>
      </c>
      <c r="E33" s="30">
        <f>+'6.Cons Profit &amp; Loss'!D52</f>
        <v>509045.70881399378</v>
      </c>
      <c r="F33" s="30">
        <f>+'6.Cons Profit &amp; Loss'!E52</f>
        <v>821908.99880822771</v>
      </c>
      <c r="G33" s="30">
        <f>+'6.Cons Profit &amp; Loss'!F52</f>
        <v>1149411.9545097002</v>
      </c>
      <c r="H33" s="30">
        <f>+'6.Cons Profit &amp; Loss'!G52</f>
        <v>1495734.2053304333</v>
      </c>
      <c r="I33" s="30">
        <f>+'6.Cons Profit &amp; Loss'!H52</f>
        <v>1837776.9847106102</v>
      </c>
    </row>
    <row r="34" spans="1:10">
      <c r="A34" s="29"/>
      <c r="B34" s="29" t="s">
        <v>238</v>
      </c>
      <c r="C34" s="39">
        <f>SUM(C16:C33)</f>
        <v>81487062.185850784</v>
      </c>
      <c r="D34" s="39">
        <f t="shared" ref="D34:I34" si="1">SUM(D16:D33)</f>
        <v>76737604.141287535</v>
      </c>
      <c r="E34" s="39">
        <f t="shared" si="1"/>
        <v>89956605.799019739</v>
      </c>
      <c r="F34" s="39">
        <f t="shared" si="1"/>
        <v>104380016.44036376</v>
      </c>
      <c r="G34" s="39">
        <f t="shared" si="1"/>
        <v>119987606.18003625</v>
      </c>
      <c r="H34" s="39">
        <f t="shared" si="1"/>
        <v>135386000.35594162</v>
      </c>
      <c r="I34" s="39">
        <f t="shared" si="1"/>
        <v>153573851.39779443</v>
      </c>
    </row>
    <row r="35" spans="1:10">
      <c r="A35" s="29"/>
      <c r="B35" s="29" t="s">
        <v>239</v>
      </c>
      <c r="C35" s="39">
        <f>C13-C34</f>
        <v>1279543.3943004459</v>
      </c>
      <c r="D35" s="39">
        <f t="shared" ref="D35:I35" si="2">D13-D34</f>
        <v>553484.51443739235</v>
      </c>
      <c r="E35" s="39">
        <f t="shared" si="2"/>
        <v>1068121.6702663749</v>
      </c>
      <c r="F35" s="39">
        <f t="shared" si="2"/>
        <v>1558486.0022003502</v>
      </c>
      <c r="G35" s="39">
        <f t="shared" si="2"/>
        <v>2128486.9144604802</v>
      </c>
      <c r="H35" s="39">
        <f t="shared" si="2"/>
        <v>4260596.1995745003</v>
      </c>
      <c r="I35" s="39">
        <f t="shared" si="2"/>
        <v>5051008.7321068645</v>
      </c>
    </row>
    <row r="36" spans="1:10">
      <c r="A36" s="37"/>
      <c r="B36" s="33" t="s">
        <v>240</v>
      </c>
      <c r="C36" s="33"/>
      <c r="D36" s="40">
        <f t="shared" ref="D36:I36" si="3">C37</f>
        <v>1279543.3943004459</v>
      </c>
      <c r="E36" s="40">
        <f t="shared" si="3"/>
        <v>1833027.9087378383</v>
      </c>
      <c r="F36" s="40">
        <f t="shared" si="3"/>
        <v>2901149.5790042132</v>
      </c>
      <c r="G36" s="40">
        <f t="shared" si="3"/>
        <v>4459635.5812045634</v>
      </c>
      <c r="H36" s="40">
        <f t="shared" si="3"/>
        <v>6588122.4956650436</v>
      </c>
      <c r="I36" s="40">
        <f t="shared" si="3"/>
        <v>10848718.695239544</v>
      </c>
    </row>
    <row r="37" spans="1:10">
      <c r="A37" s="29"/>
      <c r="B37" s="41" t="s">
        <v>241</v>
      </c>
      <c r="C37" s="39">
        <f t="shared" ref="C37:I37" si="4">C35+C36</f>
        <v>1279543.3943004459</v>
      </c>
      <c r="D37" s="39">
        <f t="shared" si="4"/>
        <v>1833027.9087378383</v>
      </c>
      <c r="E37" s="39">
        <f t="shared" si="4"/>
        <v>2901149.5790042132</v>
      </c>
      <c r="F37" s="39">
        <f t="shared" si="4"/>
        <v>4459635.5812045634</v>
      </c>
      <c r="G37" s="39">
        <f t="shared" si="4"/>
        <v>6588122.4956650436</v>
      </c>
      <c r="H37" s="39">
        <f t="shared" si="4"/>
        <v>10848718.695239544</v>
      </c>
      <c r="I37" s="39">
        <f t="shared" si="4"/>
        <v>15899727.427346408</v>
      </c>
    </row>
    <row r="39" spans="1:10" ht="39.950000000000003" customHeight="1">
      <c r="A39" s="588" t="s">
        <v>389</v>
      </c>
      <c r="B39" s="588"/>
      <c r="C39" s="588"/>
      <c r="D39" s="588"/>
      <c r="E39" s="588"/>
      <c r="F39" s="588"/>
      <c r="G39" s="588"/>
      <c r="H39" s="588"/>
      <c r="I39" s="588"/>
      <c r="J39" s="588"/>
    </row>
    <row r="41" spans="1:10">
      <c r="C41" s="52"/>
    </row>
    <row r="42" spans="1:10">
      <c r="C42" s="52"/>
    </row>
    <row r="43" spans="1:10">
      <c r="C43" s="52"/>
    </row>
    <row r="44" spans="1:10">
      <c r="C44" s="52"/>
    </row>
    <row r="45" spans="1:10">
      <c r="C45" s="52"/>
    </row>
  </sheetData>
  <mergeCells count="4">
    <mergeCell ref="A1:G1"/>
    <mergeCell ref="A14:B14"/>
    <mergeCell ref="A2:I2"/>
    <mergeCell ref="A39:J39"/>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Annex1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2023-06-01T07:32:36Z</dcterms:modified>
</cp:coreProperties>
</file>